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W:\AMMINISTRAZIONE\AMM\Società Trasparente\1 - SOCIETA' TRASPARENTE\1 - DOCUMENTI DA PUBBLICARE SUL SITO\1 - Disposizioni generali\Piano indirizzi strategici\2019\"/>
    </mc:Choice>
  </mc:AlternateContent>
  <bookViews>
    <workbookView xWindow="0" yWindow="465" windowWidth="30075" windowHeight="33375" tabRatio="602" activeTab="1"/>
  </bookViews>
  <sheets>
    <sheet name="Investimenti" sheetId="11" r:id="rId1"/>
    <sheet name="Altri prospetti" sheetId="12" r:id="rId2"/>
  </sheets>
  <definedNames>
    <definedName name="Achat" localSheetId="1">'Altri prospetti'!#REF!</definedName>
    <definedName name="Achat">#REF!</definedName>
    <definedName name="AMORTISSEMENTS" localSheetId="1">'Altri prospetti'!#REF!</definedName>
    <definedName name="AMORTISSEMENTS">#REF!</definedName>
    <definedName name="_xlnm.Print_Area" localSheetId="1">'Altri prospetti'!$B$1:$O$197</definedName>
    <definedName name="_xlnm.Print_Area" localSheetId="0">Investimenti!$B$1:$L$89</definedName>
    <definedName name="Assistance_technique" localSheetId="1">'Altri prospetti'!#REF!</definedName>
    <definedName name="Assistance_technique">#REF!</definedName>
    <definedName name="Assurance" localSheetId="1">'Altri prospetti'!#REF!</definedName>
    <definedName name="Assurance">#REF!</definedName>
    <definedName name="Autres_charges" localSheetId="1">'Altri prospetti'!#REF!</definedName>
    <definedName name="Autres_charges">#REF!</definedName>
    <definedName name="Autres_services" localSheetId="1">'Altri prospetti'!#REF!</definedName>
    <definedName name="Autres_services">#REF!</definedName>
    <definedName name="BILAN" localSheetId="1">'Altri prospetti'!$G$173:$O$197</definedName>
    <definedName name="BILAN">#REF!</definedName>
    <definedName name="Budget1" localSheetId="1">#REF!</definedName>
    <definedName name="Budget1">#REF!</definedName>
    <definedName name="CALCUL" localSheetId="1">'Altri prospetti'!#REF!</definedName>
    <definedName name="CALCUL">#REF!</definedName>
    <definedName name="Echéance_Concession" localSheetId="1">'Altri prospetti'!#REF!</definedName>
    <definedName name="Echéance_Concession">#REF!</definedName>
    <definedName name="EMPRUNTS" localSheetId="1">'Altri prospetti'!#REF!</definedName>
    <definedName name="EMPRUNTS">#REF!</definedName>
    <definedName name="Energie" localSheetId="1">'Altri prospetti'!#REF!</definedName>
    <definedName name="Energie">#REF!</definedName>
    <definedName name="Entretien" localSheetId="1">'Altri prospetti'!#REF!</definedName>
    <definedName name="Entretien">#REF!</definedName>
    <definedName name="Etudes" localSheetId="1">'Altri prospetti'!#REF!</definedName>
    <definedName name="Etudes">#REF!</definedName>
    <definedName name="euro">6.55957</definedName>
    <definedName name="EXPLOIT1" localSheetId="1">'Altri prospetti'!$G$38:$O$124</definedName>
    <definedName name="EXPLOIT1">#REF!</definedName>
    <definedName name="EXPLOIT2" localSheetId="1">'Altri prospetti'!$G$136:$O$141</definedName>
    <definedName name="EXPLOIT2">#REF!</definedName>
    <definedName name="FULES_et_PARAM." localSheetId="1">'Altri prospetti'!#REF!</definedName>
    <definedName name="FULES_et_PARAM.">#REF!</definedName>
    <definedName name="HYPOTHESES" localSheetId="1">'Altri prospetti'!$G$1:$K$37</definedName>
    <definedName name="HYPOTHESES">#REF!</definedName>
    <definedName name="Inflation" localSheetId="1">'Altri prospetti'!#REF!</definedName>
    <definedName name="Inflation">#REF!</definedName>
    <definedName name="IS" localSheetId="1">'Altri prospetti'!#REF!</definedName>
    <definedName name="IS">#REF!</definedName>
    <definedName name="IS_2003" localSheetId="1">'Altri prospetti'!#REF!</definedName>
    <definedName name="IS_2003">#REF!</definedName>
    <definedName name="IS_2004" localSheetId="1">'Altri prospetti'!#REF!</definedName>
    <definedName name="IS_2004">#REF!</definedName>
    <definedName name="IS_2006" localSheetId="1">'Altri prospetti'!#REF!</definedName>
    <definedName name="IS_2006">#REF!</definedName>
    <definedName name="JS_par_lit_référence" localSheetId="1">'Altri prospetti'!#REF!</definedName>
    <definedName name="JS_par_lit_référence">#REF!</definedName>
    <definedName name="min_tréso" localSheetId="1">#REF!</definedName>
    <definedName name="min_tréso">#REF!</definedName>
    <definedName name="Personnel_permanent" localSheetId="1">'Altri prospetti'!#REF!</definedName>
    <definedName name="Personnel_permanent">#REF!</definedName>
    <definedName name="Personnel_saisonnier" localSheetId="1">'Altri prospetti'!#REF!</definedName>
    <definedName name="Personnel_saisonnier">#REF!</definedName>
    <definedName name="Publicité" localSheetId="1">'Altri prospetti'!#REF!</definedName>
    <definedName name="Publicité">#REF!</definedName>
    <definedName name="RATIOS" localSheetId="1">'Altri prospetti'!#REF!</definedName>
    <definedName name="RATIOS">#REF!</definedName>
    <definedName name="REDEVANCES" localSheetId="1">'Altri prospetti'!#REF!</definedName>
    <definedName name="REDEVANCES">#REF!</definedName>
    <definedName name="semestrialisations" localSheetId="1">'Altri prospetti'!#REF!</definedName>
    <definedName name="semestrialisations">#REF!</definedName>
    <definedName name="SEVABEL" localSheetId="1">'Altri prospetti'!$G$1:$O$198</definedName>
    <definedName name="SEVABEL">#REF!</definedName>
    <definedName name="Station" localSheetId="1">'Altri prospetti'!#REF!</definedName>
    <definedName name="Station">#REF!</definedName>
    <definedName name="Surplus_de_tarif" localSheetId="1">'Altri prospetti'!#REF!</definedName>
    <definedName name="Surplus_de_tarif">#REF!</definedName>
    <definedName name="Taux_réel" localSheetId="1">'Altri prospetti'!#REF!</definedName>
    <definedName name="Taux_réel">#REF!</definedName>
    <definedName name="TER" localSheetId="1">'Altri prospetti'!$G$143:$O$171</definedName>
    <definedName name="TER">#REF!</definedName>
    <definedName name="_xlnm.Print_Titles" localSheetId="0">Investimenti!$A:$A,Investimenti!$1:$2</definedName>
    <definedName name="Titre_Station" localSheetId="1">'Altri prospetti'!#REF!</definedName>
    <definedName name="Titre_Station">#REF!</definedName>
    <definedName name="TVA" localSheetId="1">'Altri prospetti'!#REF!</definedName>
    <definedName name="TVA">#REF!</definedName>
    <definedName name="valorisation" localSheetId="1">'Altri prospetti'!#REF!</definedName>
    <definedName name="valorisation">#REF!</definedName>
    <definedName name="WACC" localSheetId="1">'Altri prospetti'!#REF!</definedName>
    <definedName name="WACC">#REF!</definedName>
    <definedName name="xxx" localSheetId="1">#REF!</definedName>
    <definedName name="xxx">#REF!</definedName>
    <definedName name="Zone_d_impression_1" localSheetId="1">'Altri prospetti'!$G$1:$O$198</definedName>
    <definedName name="Zone_d_impression_1">#REF!</definedName>
    <definedName name="Zone_d_impression_2" localSheetId="1">'Altri prospetti'!#REF!,'Altri prospetti'!#REF!</definedName>
    <definedName name="Zone_d_impression_2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0" i="12" l="1"/>
  <c r="E120" i="12"/>
  <c r="K139" i="12"/>
  <c r="J139" i="12"/>
  <c r="I139" i="12"/>
  <c r="E139" i="12"/>
  <c r="K177" i="12" l="1"/>
  <c r="J177" i="12"/>
  <c r="I177" i="12"/>
  <c r="E177" i="12"/>
  <c r="O117" i="12"/>
  <c r="I176" i="12"/>
  <c r="J176" i="12" s="1"/>
  <c r="K176" i="12" s="1"/>
  <c r="E176" i="12"/>
  <c r="K151" i="12"/>
  <c r="J151" i="12"/>
  <c r="I151" i="12"/>
  <c r="E151" i="12"/>
  <c r="J120" i="12"/>
  <c r="K120" i="12" s="1"/>
  <c r="K148" i="12"/>
  <c r="J148" i="12"/>
  <c r="I148" i="12"/>
  <c r="E148" i="12"/>
  <c r="D148" i="12"/>
  <c r="K118" i="12"/>
  <c r="J118" i="12"/>
  <c r="I118" i="12"/>
  <c r="E118" i="12"/>
  <c r="K115" i="12"/>
  <c r="J115" i="12"/>
  <c r="I115" i="12"/>
  <c r="E115" i="12"/>
  <c r="O26" i="12"/>
  <c r="K26" i="12"/>
  <c r="J26" i="12"/>
  <c r="K25" i="12"/>
  <c r="J25" i="12"/>
  <c r="I25" i="12"/>
  <c r="I26" i="12"/>
  <c r="E26" i="12"/>
  <c r="E25" i="12"/>
  <c r="K114" i="12"/>
  <c r="J114" i="12"/>
  <c r="I114" i="12"/>
  <c r="E114" i="12"/>
  <c r="K50" i="12" l="1"/>
  <c r="J50" i="12"/>
  <c r="K44" i="12"/>
  <c r="K51" i="12" s="1"/>
  <c r="J44" i="12"/>
  <c r="J51" i="12" s="1"/>
  <c r="E191" i="12"/>
  <c r="I191" i="12" s="1"/>
  <c r="J191" i="12" s="1"/>
  <c r="K191" i="12" s="1"/>
  <c r="K154" i="12" l="1"/>
  <c r="J108" i="12"/>
  <c r="K108" i="12" s="1"/>
  <c r="J107" i="12"/>
  <c r="K107" i="12" s="1"/>
  <c r="J154" i="12" l="1"/>
  <c r="I154" i="12"/>
  <c r="I182" i="12"/>
  <c r="J182" i="12" s="1"/>
  <c r="K160" i="12"/>
  <c r="K161" i="12" s="1"/>
  <c r="I160" i="12"/>
  <c r="I161" i="12" s="1"/>
  <c r="I158" i="12"/>
  <c r="J169" i="12"/>
  <c r="I196" i="12"/>
  <c r="I155" i="12" s="1"/>
  <c r="I195" i="12"/>
  <c r="J195" i="12" s="1"/>
  <c r="K195" i="12" s="1"/>
  <c r="J181" i="12"/>
  <c r="I192" i="12"/>
  <c r="J196" i="12" l="1"/>
  <c r="K196" i="12" s="1"/>
  <c r="K155" i="12" s="1"/>
  <c r="I153" i="12"/>
  <c r="I152" i="12"/>
  <c r="J158" i="12"/>
  <c r="K181" i="12"/>
  <c r="K158" i="12" s="1"/>
  <c r="K182" i="12"/>
  <c r="K153" i="12" s="1"/>
  <c r="J153" i="12"/>
  <c r="J152" i="12"/>
  <c r="K152" i="12"/>
  <c r="J155" i="12"/>
  <c r="J160" i="12"/>
  <c r="J161" i="12" s="1"/>
  <c r="E152" i="12" l="1"/>
  <c r="K169" i="12"/>
  <c r="I169" i="12"/>
  <c r="K136" i="12"/>
  <c r="K147" i="12" s="1"/>
  <c r="K132" i="12"/>
  <c r="K116" i="12"/>
  <c r="K119" i="12"/>
  <c r="K113" i="12"/>
  <c r="K106" i="12"/>
  <c r="K99" i="12"/>
  <c r="K97" i="12"/>
  <c r="K83" i="12"/>
  <c r="K69" i="12"/>
  <c r="K101" i="12" s="1"/>
  <c r="K53" i="12"/>
  <c r="K60" i="12" s="1"/>
  <c r="J136" i="12"/>
  <c r="J147" i="12" s="1"/>
  <c r="J132" i="12"/>
  <c r="J116" i="12"/>
  <c r="J113" i="12"/>
  <c r="J106" i="12"/>
  <c r="J99" i="12"/>
  <c r="J97" i="12"/>
  <c r="J83" i="12"/>
  <c r="J69" i="12"/>
  <c r="J101" i="12" s="1"/>
  <c r="J53" i="12"/>
  <c r="J60" i="12" s="1"/>
  <c r="I116" i="12"/>
  <c r="I113" i="12"/>
  <c r="I106" i="12"/>
  <c r="I99" i="12"/>
  <c r="I97" i="12"/>
  <c r="I83" i="12"/>
  <c r="I69" i="12"/>
  <c r="I101" i="12" s="1"/>
  <c r="I53" i="12"/>
  <c r="I60" i="12" s="1"/>
  <c r="I50" i="12"/>
  <c r="I44" i="12"/>
  <c r="E158" i="12"/>
  <c r="E160" i="12"/>
  <c r="D160" i="12"/>
  <c r="E53" i="12"/>
  <c r="E20" i="12"/>
  <c r="E154" i="12"/>
  <c r="E153" i="12"/>
  <c r="D153" i="12"/>
  <c r="J119" i="12" l="1"/>
  <c r="I51" i="12"/>
  <c r="I119" i="12"/>
  <c r="I136" i="12"/>
  <c r="I147" i="12" s="1"/>
  <c r="I132" i="12"/>
  <c r="E136" i="12"/>
  <c r="E132" i="12"/>
  <c r="E150" i="12"/>
  <c r="E116" i="12"/>
  <c r="E149" i="12" s="1"/>
  <c r="I149" i="12" s="1"/>
  <c r="J149" i="12" s="1"/>
  <c r="K149" i="12" s="1"/>
  <c r="E119" i="12"/>
  <c r="E113" i="12"/>
  <c r="E106" i="12"/>
  <c r="E99" i="12"/>
  <c r="E97" i="12"/>
  <c r="E83" i="12"/>
  <c r="E69" i="12"/>
  <c r="E60" i="12"/>
  <c r="I150" i="12" l="1"/>
  <c r="J150" i="12" s="1"/>
  <c r="K150" i="12" s="1"/>
  <c r="E190" i="12"/>
  <c r="I190" i="12" s="1"/>
  <c r="J190" i="12" s="1"/>
  <c r="K190" i="12" s="1"/>
  <c r="E101" i="12"/>
  <c r="L67" i="11"/>
  <c r="L43" i="11"/>
  <c r="L44" i="11"/>
  <c r="L45" i="11"/>
  <c r="L46" i="11"/>
  <c r="L47" i="11"/>
  <c r="L48" i="11"/>
  <c r="L49" i="11"/>
  <c r="L50" i="11"/>
  <c r="L51" i="11"/>
  <c r="L52" i="11"/>
  <c r="B31" i="12"/>
  <c r="C31" i="12"/>
  <c r="Q31" i="12"/>
  <c r="Q20" i="12"/>
  <c r="Q9" i="12"/>
  <c r="B151" i="12" l="1"/>
  <c r="L66" i="11" l="1"/>
  <c r="L68" i="11"/>
  <c r="L69" i="11"/>
  <c r="L70" i="11"/>
  <c r="L71" i="11"/>
  <c r="L72" i="11"/>
  <c r="L73" i="11"/>
  <c r="L74" i="11"/>
  <c r="L33" i="11"/>
  <c r="L34" i="11"/>
  <c r="L35" i="11"/>
  <c r="L36" i="11"/>
  <c r="C83" i="11" l="1"/>
  <c r="B187" i="12"/>
  <c r="B109" i="12"/>
  <c r="C150" i="12"/>
  <c r="C149" i="12"/>
  <c r="C148" i="12"/>
  <c r="B150" i="12"/>
  <c r="B148" i="12"/>
  <c r="B149" i="12"/>
  <c r="D106" i="12"/>
  <c r="D158" i="12" l="1"/>
  <c r="D154" i="12" l="1"/>
  <c r="D97" i="12"/>
  <c r="D132" i="12"/>
  <c r="D120" i="12"/>
  <c r="D99" i="12"/>
  <c r="D121" i="12"/>
  <c r="D150" i="12" s="1"/>
  <c r="D116" i="12"/>
  <c r="D149" i="12" s="1"/>
  <c r="D115" i="12"/>
  <c r="D114" i="12"/>
  <c r="D108" i="12"/>
  <c r="D83" i="12"/>
  <c r="D69" i="12"/>
  <c r="L63" i="11"/>
  <c r="L64" i="11"/>
  <c r="L65" i="11"/>
  <c r="L75" i="11"/>
  <c r="L76" i="11"/>
  <c r="L77" i="11"/>
  <c r="L78" i="11"/>
  <c r="D53" i="12"/>
  <c r="D60" i="12" s="1"/>
  <c r="D25" i="12"/>
  <c r="D14" i="12"/>
  <c r="I157" i="12" l="1"/>
  <c r="I159" i="12" s="1"/>
  <c r="I162" i="12" s="1"/>
  <c r="E31" i="12"/>
  <c r="D31" i="12"/>
  <c r="E157" i="12"/>
  <c r="I124" i="12"/>
  <c r="I125" i="12" s="1"/>
  <c r="I137" i="12" s="1"/>
  <c r="I140" i="12" s="1"/>
  <c r="E124" i="12"/>
  <c r="D101" i="12"/>
  <c r="J157" i="12" l="1"/>
  <c r="J159" i="12" s="1"/>
  <c r="J162" i="12" s="1"/>
  <c r="J124" i="12"/>
  <c r="J125" i="12" s="1"/>
  <c r="J137" i="12" s="1"/>
  <c r="J140" i="12" s="1"/>
  <c r="I146" i="12"/>
  <c r="I156" i="12" s="1"/>
  <c r="I188" i="12"/>
  <c r="J192" i="12"/>
  <c r="K192" i="12" s="1"/>
  <c r="J188" i="12" l="1"/>
  <c r="J146" i="12"/>
  <c r="J156" i="12" s="1"/>
  <c r="K157" i="12"/>
  <c r="K159" i="12" s="1"/>
  <c r="K162" i="12" s="1"/>
  <c r="K124" i="12"/>
  <c r="K125" i="12" s="1"/>
  <c r="K137" i="12" s="1"/>
  <c r="K140" i="12" s="1"/>
  <c r="K146" i="12" s="1"/>
  <c r="K156" i="12" s="1"/>
  <c r="O64" i="12"/>
  <c r="O65" i="12"/>
  <c r="O66" i="12"/>
  <c r="O67" i="12"/>
  <c r="O68" i="12"/>
  <c r="O69" i="12"/>
  <c r="O70" i="12"/>
  <c r="O71" i="12"/>
  <c r="O72" i="12"/>
  <c r="O73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2" i="12"/>
  <c r="O103" i="12"/>
  <c r="O104" i="12"/>
  <c r="O105" i="12"/>
  <c r="O107" i="12"/>
  <c r="O108" i="12"/>
  <c r="O109" i="12"/>
  <c r="O110" i="12"/>
  <c r="O111" i="12"/>
  <c r="O112" i="12"/>
  <c r="O114" i="12"/>
  <c r="O115" i="12"/>
  <c r="O116" i="12"/>
  <c r="O118" i="12"/>
  <c r="O120" i="12"/>
  <c r="O121" i="12"/>
  <c r="O122" i="12"/>
  <c r="O123" i="12"/>
  <c r="O126" i="12"/>
  <c r="O127" i="12"/>
  <c r="O128" i="12"/>
  <c r="O129" i="12"/>
  <c r="O130" i="12"/>
  <c r="O131" i="12"/>
  <c r="O133" i="12"/>
  <c r="O134" i="12"/>
  <c r="O135" i="12"/>
  <c r="O138" i="12"/>
  <c r="O139" i="12"/>
  <c r="O53" i="12"/>
  <c r="O54" i="12"/>
  <c r="O55" i="12"/>
  <c r="O56" i="12"/>
  <c r="O57" i="12"/>
  <c r="O58" i="12"/>
  <c r="O59" i="12"/>
  <c r="O61" i="12"/>
  <c r="O62" i="12"/>
  <c r="O63" i="12"/>
  <c r="O52" i="12"/>
  <c r="O46" i="12"/>
  <c r="O47" i="12"/>
  <c r="O48" i="12"/>
  <c r="O49" i="12"/>
  <c r="O45" i="12"/>
  <c r="O39" i="12"/>
  <c r="O40" i="12"/>
  <c r="O41" i="12"/>
  <c r="O42" i="12"/>
  <c r="O43" i="12"/>
  <c r="O38" i="12"/>
  <c r="O25" i="12"/>
  <c r="O14" i="12"/>
  <c r="L62" i="11"/>
  <c r="O136" i="12" l="1"/>
  <c r="O132" i="12"/>
  <c r="O119" i="12"/>
  <c r="O60" i="12"/>
  <c r="O106" i="12"/>
  <c r="O113" i="12"/>
  <c r="O44" i="12"/>
  <c r="O101" i="12"/>
  <c r="O50" i="12"/>
  <c r="O124" i="12" l="1"/>
  <c r="O51" i="12"/>
  <c r="O137" i="12" l="1"/>
  <c r="O125" i="12"/>
  <c r="C155" i="12" l="1"/>
  <c r="C153" i="12"/>
  <c r="C180" i="12" l="1"/>
  <c r="D180" i="12" s="1"/>
  <c r="C192" i="12"/>
  <c r="D192" i="12" s="1"/>
  <c r="E192" i="12" s="1"/>
  <c r="A189" i="12"/>
  <c r="A197" i="12" s="1"/>
  <c r="A179" i="12"/>
  <c r="A185" i="12" s="1"/>
  <c r="E175" i="12"/>
  <c r="D175" i="12"/>
  <c r="C175" i="12"/>
  <c r="E169" i="12"/>
  <c r="D169" i="12"/>
  <c r="C169" i="12"/>
  <c r="E161" i="12"/>
  <c r="D161" i="12"/>
  <c r="C160" i="12"/>
  <c r="C161" i="12" s="1"/>
  <c r="D157" i="12"/>
  <c r="C157" i="12"/>
  <c r="E155" i="12"/>
  <c r="D155" i="12"/>
  <c r="C154" i="12"/>
  <c r="D152" i="12"/>
  <c r="C152" i="12"/>
  <c r="E145" i="12"/>
  <c r="D145" i="12"/>
  <c r="C145" i="12"/>
  <c r="E147" i="12"/>
  <c r="D136" i="12"/>
  <c r="D147" i="12" s="1"/>
  <c r="C136" i="12"/>
  <c r="C147" i="12" s="1"/>
  <c r="B136" i="12"/>
  <c r="C132" i="12"/>
  <c r="B132" i="12"/>
  <c r="D119" i="12"/>
  <c r="C119" i="12"/>
  <c r="B119" i="12"/>
  <c r="D113" i="12"/>
  <c r="C113" i="12"/>
  <c r="B113" i="12"/>
  <c r="C106" i="12"/>
  <c r="B106" i="12"/>
  <c r="C101" i="12"/>
  <c r="B101" i="12"/>
  <c r="C60" i="12"/>
  <c r="B60" i="12"/>
  <c r="E50" i="12"/>
  <c r="D50" i="12"/>
  <c r="C50" i="12"/>
  <c r="B50" i="12"/>
  <c r="E44" i="12"/>
  <c r="D44" i="12"/>
  <c r="D51" i="12" s="1"/>
  <c r="C44" i="12"/>
  <c r="B44" i="12"/>
  <c r="E37" i="12"/>
  <c r="C174" i="12"/>
  <c r="AD31" i="12"/>
  <c r="Z31" i="12"/>
  <c r="Y31" i="12"/>
  <c r="X31" i="12"/>
  <c r="T31" i="12"/>
  <c r="S31" i="12"/>
  <c r="R31" i="12"/>
  <c r="O31" i="12"/>
  <c r="K31" i="12"/>
  <c r="J31" i="12"/>
  <c r="I31" i="12"/>
  <c r="T22" i="12"/>
  <c r="X22" i="12" s="1"/>
  <c r="Y22" i="12" s="1"/>
  <c r="Z22" i="12" s="1"/>
  <c r="E22" i="12"/>
  <c r="I22" i="12" s="1"/>
  <c r="J22" i="12" s="1"/>
  <c r="K22" i="12" s="1"/>
  <c r="AD20" i="12"/>
  <c r="Z20" i="12"/>
  <c r="Y20" i="12"/>
  <c r="X20" i="12"/>
  <c r="T20" i="12"/>
  <c r="S20" i="12"/>
  <c r="R20" i="12"/>
  <c r="O20" i="12"/>
  <c r="K20" i="12"/>
  <c r="J20" i="12"/>
  <c r="I20" i="12"/>
  <c r="D20" i="12"/>
  <c r="C20" i="12"/>
  <c r="B20" i="12"/>
  <c r="T11" i="12"/>
  <c r="X11" i="12" s="1"/>
  <c r="Y11" i="12" s="1"/>
  <c r="Z11" i="12" s="1"/>
  <c r="E11" i="12"/>
  <c r="E36" i="12" s="1"/>
  <c r="E144" i="12" s="1"/>
  <c r="Z9" i="12"/>
  <c r="K164" i="12" s="1"/>
  <c r="Y9" i="12"/>
  <c r="J164" i="12" s="1"/>
  <c r="X9" i="12"/>
  <c r="I164" i="12" s="1"/>
  <c r="T9" i="12"/>
  <c r="E164" i="12" s="1"/>
  <c r="S9" i="12"/>
  <c r="D164" i="12" s="1"/>
  <c r="R9" i="12"/>
  <c r="AD7" i="12"/>
  <c r="G7" i="12"/>
  <c r="V7" i="12" s="1"/>
  <c r="AD6" i="12"/>
  <c r="G6" i="12"/>
  <c r="V6" i="12" s="1"/>
  <c r="AD5" i="12"/>
  <c r="G5" i="12"/>
  <c r="V5" i="12" s="1"/>
  <c r="T1" i="12"/>
  <c r="X1" i="12" s="1"/>
  <c r="Y1" i="12" s="1"/>
  <c r="Z1" i="12" s="1"/>
  <c r="E1" i="12"/>
  <c r="I1" i="12" s="1"/>
  <c r="J1" i="12" s="1"/>
  <c r="K1" i="12" s="1"/>
  <c r="E180" i="12" l="1"/>
  <c r="I180" i="12" s="1"/>
  <c r="J180" i="12" s="1"/>
  <c r="K180" i="12" s="1"/>
  <c r="E51" i="12"/>
  <c r="E125" i="12" s="1"/>
  <c r="E137" i="12" s="1"/>
  <c r="E140" i="12" s="1"/>
  <c r="B51" i="12"/>
  <c r="D124" i="12"/>
  <c r="D125" i="12" s="1"/>
  <c r="D137" i="12" s="1"/>
  <c r="C51" i="12"/>
  <c r="D159" i="12"/>
  <c r="D162" i="12" s="1"/>
  <c r="D174" i="12"/>
  <c r="E174" i="12"/>
  <c r="I11" i="12"/>
  <c r="I36" i="12" s="1"/>
  <c r="I174" i="12" s="1"/>
  <c r="E159" i="12"/>
  <c r="E162" i="12" s="1"/>
  <c r="C124" i="12"/>
  <c r="C158" i="12"/>
  <c r="C159" i="12" s="1"/>
  <c r="C186" i="12"/>
  <c r="C164" i="12"/>
  <c r="AD9" i="12"/>
  <c r="B124" i="12"/>
  <c r="B174" i="12"/>
  <c r="B125" i="12" l="1"/>
  <c r="B137" i="12" s="1"/>
  <c r="B140" i="12" s="1"/>
  <c r="C125" i="12"/>
  <c r="C137" i="12" s="1"/>
  <c r="C140" i="12" s="1"/>
  <c r="C188" i="12" s="1"/>
  <c r="B146" i="12"/>
  <c r="B156" i="12" s="1"/>
  <c r="B171" i="12" s="1"/>
  <c r="B188" i="12"/>
  <c r="J11" i="12"/>
  <c r="J36" i="12" s="1"/>
  <c r="I144" i="12"/>
  <c r="C162" i="12"/>
  <c r="E188" i="12"/>
  <c r="E146" i="12"/>
  <c r="E156" i="12" s="1"/>
  <c r="C146" i="12"/>
  <c r="C156" i="12" s="1"/>
  <c r="C187" i="12"/>
  <c r="D187" i="12" s="1"/>
  <c r="D186" i="12"/>
  <c r="K11" i="12"/>
  <c r="K36" i="12" s="1"/>
  <c r="B183" i="12" l="1"/>
  <c r="D140" i="12"/>
  <c r="D146" i="12" s="1"/>
  <c r="E186" i="12"/>
  <c r="I186" i="12" s="1"/>
  <c r="J174" i="12"/>
  <c r="J144" i="12"/>
  <c r="K188" i="12"/>
  <c r="K144" i="12"/>
  <c r="K174" i="12"/>
  <c r="B189" i="12"/>
  <c r="L39" i="11"/>
  <c r="L40" i="11"/>
  <c r="L41" i="11"/>
  <c r="L42" i="11"/>
  <c r="L53" i="11"/>
  <c r="L54" i="11"/>
  <c r="L55" i="11"/>
  <c r="L56" i="11"/>
  <c r="L57" i="11"/>
  <c r="L58" i="11"/>
  <c r="L59" i="11"/>
  <c r="L60" i="11"/>
  <c r="L61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J186" i="12" l="1"/>
  <c r="D188" i="12"/>
  <c r="E187" i="12" s="1"/>
  <c r="I187" i="12" s="1"/>
  <c r="J187" i="12" s="1"/>
  <c r="J189" i="12" s="1"/>
  <c r="D156" i="12"/>
  <c r="O140" i="12"/>
  <c r="C189" i="12"/>
  <c r="I189" i="12" l="1"/>
  <c r="D189" i="12"/>
  <c r="F38" i="11"/>
  <c r="F80" i="11"/>
  <c r="F83" i="11"/>
  <c r="J38" i="11"/>
  <c r="K38" i="11"/>
  <c r="J80" i="11"/>
  <c r="K80" i="11"/>
  <c r="J83" i="11"/>
  <c r="K83" i="11"/>
  <c r="I7" i="12" l="1"/>
  <c r="I6" i="12"/>
  <c r="I5" i="12"/>
  <c r="K186" i="12"/>
  <c r="E189" i="12"/>
  <c r="J87" i="11"/>
  <c r="K87" i="11"/>
  <c r="F87" i="11"/>
  <c r="L81" i="11"/>
  <c r="I9" i="12" l="1"/>
  <c r="I163" i="12" s="1"/>
  <c r="I166" i="12" s="1"/>
  <c r="K187" i="12" l="1"/>
  <c r="K189" i="12" s="1"/>
  <c r="L82" i="11" l="1"/>
  <c r="L79" i="11"/>
  <c r="I83" i="11" l="1"/>
  <c r="H83" i="11"/>
  <c r="K7" i="12" s="1"/>
  <c r="G83" i="11"/>
  <c r="J7" i="12" s="1"/>
  <c r="E83" i="11"/>
  <c r="E7" i="12" s="1"/>
  <c r="D83" i="11"/>
  <c r="D7" i="12" s="1"/>
  <c r="C7" i="12"/>
  <c r="B83" i="11"/>
  <c r="B7" i="12" s="1"/>
  <c r="L83" i="11"/>
  <c r="I80" i="11"/>
  <c r="H80" i="11"/>
  <c r="G80" i="11"/>
  <c r="B80" i="11"/>
  <c r="B6" i="12" s="1"/>
  <c r="E80" i="11"/>
  <c r="L80" i="11"/>
  <c r="I38" i="11"/>
  <c r="H38" i="11"/>
  <c r="G38" i="11"/>
  <c r="E38" i="11"/>
  <c r="D38" i="11"/>
  <c r="D5" i="12" s="1"/>
  <c r="C38" i="11"/>
  <c r="C5" i="12" s="1"/>
  <c r="B38" i="11"/>
  <c r="B5" i="12" s="1"/>
  <c r="L37" i="11"/>
  <c r="H89" i="11" l="1"/>
  <c r="O7" i="12"/>
  <c r="J6" i="12"/>
  <c r="C178" i="12"/>
  <c r="E5" i="12"/>
  <c r="K6" i="12"/>
  <c r="J5" i="12"/>
  <c r="K5" i="12"/>
  <c r="E6" i="12"/>
  <c r="E87" i="11"/>
  <c r="I87" i="11"/>
  <c r="G87" i="11"/>
  <c r="H87" i="11"/>
  <c r="B87" i="11"/>
  <c r="L38" i="11"/>
  <c r="L87" i="11" s="1"/>
  <c r="C80" i="11"/>
  <c r="C6" i="12" s="1"/>
  <c r="D80" i="11"/>
  <c r="D6" i="12" s="1"/>
  <c r="G90" i="11" l="1"/>
  <c r="H90" i="11" s="1"/>
  <c r="D178" i="12"/>
  <c r="K9" i="12"/>
  <c r="K163" i="12" s="1"/>
  <c r="K166" i="12" s="1"/>
  <c r="O6" i="12"/>
  <c r="C176" i="12"/>
  <c r="J9" i="12"/>
  <c r="J163" i="12" s="1"/>
  <c r="J166" i="12" s="1"/>
  <c r="O5" i="12"/>
  <c r="C9" i="12"/>
  <c r="C163" i="12" s="1"/>
  <c r="C166" i="12" s="1"/>
  <c r="B9" i="12"/>
  <c r="D9" i="12"/>
  <c r="D163" i="12" s="1"/>
  <c r="D166" i="12" s="1"/>
  <c r="E9" i="12"/>
  <c r="C87" i="11"/>
  <c r="D87" i="11"/>
  <c r="E178" i="12" l="1"/>
  <c r="D176" i="12"/>
  <c r="C177" i="12"/>
  <c r="B179" i="12"/>
  <c r="C171" i="12"/>
  <c r="B197" i="12"/>
  <c r="E163" i="12"/>
  <c r="E166" i="12" s="1"/>
  <c r="O9" i="12"/>
  <c r="K178" i="12" l="1"/>
  <c r="D171" i="12"/>
  <c r="C183" i="12"/>
  <c r="C194" i="12"/>
  <c r="C197" i="12" s="1"/>
  <c r="B185" i="12"/>
  <c r="D177" i="12"/>
  <c r="C179" i="12"/>
  <c r="D183" i="12" l="1"/>
  <c r="E171" i="12"/>
  <c r="I171" i="12" s="1"/>
  <c r="D179" i="12"/>
  <c r="C185" i="12"/>
  <c r="D194" i="12"/>
  <c r="I179" i="12" l="1"/>
  <c r="I183" i="12"/>
  <c r="I194" i="12"/>
  <c r="I197" i="12" s="1"/>
  <c r="J171" i="12"/>
  <c r="J183" i="12" s="1"/>
  <c r="D197" i="12"/>
  <c r="E197" i="12"/>
  <c r="E183" i="12"/>
  <c r="D185" i="12"/>
  <c r="E179" i="12"/>
  <c r="I185" i="12" l="1"/>
  <c r="J194" i="12"/>
  <c r="J197" i="12" s="1"/>
  <c r="E185" i="12"/>
  <c r="K171" i="12"/>
  <c r="K183" i="12" s="1"/>
  <c r="K179" i="12" l="1"/>
  <c r="K185" i="12" s="1"/>
  <c r="J179" i="12"/>
  <c r="J185" i="12" s="1"/>
  <c r="K194" i="12"/>
  <c r="K197" i="12" s="1"/>
</calcChain>
</file>

<file path=xl/comments1.xml><?xml version="1.0" encoding="utf-8"?>
<comments xmlns="http://schemas.openxmlformats.org/spreadsheetml/2006/main">
  <authors>
    <author>Manassero Simone</author>
  </authors>
  <commentList>
    <comment ref="A171" authorId="0" shapeId="0">
      <text>
        <r>
          <rPr>
            <b/>
            <sz val="9"/>
            <color rgb="FF000000"/>
            <rFont val="Tahoma"/>
            <family val="2"/>
          </rPr>
          <t xml:space="preserve">Inserire saldo cassa/banca iniziale
</t>
        </r>
      </text>
    </comment>
  </commentList>
</comments>
</file>

<file path=xl/sharedStrings.xml><?xml version="1.0" encoding="utf-8"?>
<sst xmlns="http://schemas.openxmlformats.org/spreadsheetml/2006/main" count="267" uniqueCount="228">
  <si>
    <t>INVESTIMENTI</t>
  </si>
  <si>
    <t>Totale</t>
  </si>
  <si>
    <t>TOTALE INVESTIMENTI</t>
  </si>
  <si>
    <t>CALCOLO AMMORTAMENTI</t>
  </si>
  <si>
    <t>CONTO ECONOMICO</t>
  </si>
  <si>
    <t>Ricavi delle vendite</t>
  </si>
  <si>
    <t>Totale valore della produzione</t>
  </si>
  <si>
    <t>Totale acquisti</t>
  </si>
  <si>
    <t>Spese per il personale</t>
  </si>
  <si>
    <t>Spese per godimento beni di terzi</t>
  </si>
  <si>
    <t>ammortamenti immo imm</t>
  </si>
  <si>
    <t>ammortamenti immo materiali</t>
  </si>
  <si>
    <t>Ammortamenti</t>
  </si>
  <si>
    <t>accantonamenti per rischi</t>
  </si>
  <si>
    <t>oneri diversi di gestione</t>
  </si>
  <si>
    <t>Totale costi della produzione</t>
  </si>
  <si>
    <t>Valore - costi produzione</t>
  </si>
  <si>
    <t>Risultato prima delle imposte</t>
  </si>
  <si>
    <t>IRAP</t>
  </si>
  <si>
    <t>IRES</t>
  </si>
  <si>
    <t>Utile (perdita)</t>
  </si>
  <si>
    <t>ammortamenti</t>
  </si>
  <si>
    <t>utile (perdita) di esercizio</t>
  </si>
  <si>
    <t>variazioni fondo TFR</t>
  </si>
  <si>
    <t>Immobilizzazioni immateriali</t>
  </si>
  <si>
    <t>Immobilizzazioni materiali</t>
  </si>
  <si>
    <t>Totale immobilizzazioni</t>
  </si>
  <si>
    <t>Rimanenze</t>
  </si>
  <si>
    <t>Immobilizzazioni finanziarie</t>
  </si>
  <si>
    <t>Crediti</t>
  </si>
  <si>
    <t>Disponibilità</t>
  </si>
  <si>
    <t>Ratei e risconti</t>
  </si>
  <si>
    <t>TOTALE ATTIVO</t>
  </si>
  <si>
    <t>STATO PATRIMONIALE</t>
  </si>
  <si>
    <t>Capitale</t>
  </si>
  <si>
    <t>Riserve</t>
  </si>
  <si>
    <t>PATRIMONIO NETTO</t>
  </si>
  <si>
    <t>Fondo per rischi ed oneri</t>
  </si>
  <si>
    <t>Fondo TFR</t>
  </si>
  <si>
    <t>Mutui</t>
  </si>
  <si>
    <t>variazione ratei e risconti attivi</t>
  </si>
  <si>
    <t>variazioni attività correnti</t>
  </si>
  <si>
    <t>variazioni passività correnti</t>
  </si>
  <si>
    <t>variazione rimanenze</t>
  </si>
  <si>
    <t>Tesoreria fine esercizio</t>
  </si>
  <si>
    <t>FLUSSI FINANZIARI</t>
  </si>
  <si>
    <t>immobilizzazioni finanziarie</t>
  </si>
  <si>
    <t>variazione ratei e risconti passivi</t>
  </si>
  <si>
    <t>crediti immobilizzati rimborsati</t>
  </si>
  <si>
    <t>TOTALE PASSIVO</t>
  </si>
  <si>
    <t>variazione crediti a breve</t>
  </si>
  <si>
    <t>rimborsi rate capitale / mutui</t>
  </si>
  <si>
    <t>plus(minus)valenze patrimoniali</t>
  </si>
  <si>
    <t>Autofinanziamento</t>
  </si>
  <si>
    <t>Flusso gestione immobilizz.</t>
  </si>
  <si>
    <t>Flusso gestione finanziaria</t>
  </si>
  <si>
    <t>Aumento capitale</t>
  </si>
  <si>
    <t>Proventi e oneri finanziari</t>
  </si>
  <si>
    <t>Flusso capitale circolante</t>
  </si>
  <si>
    <t>nuovi finanziamenti</t>
  </si>
  <si>
    <t>Servizi</t>
  </si>
  <si>
    <t>aumm</t>
  </si>
  <si>
    <t>Stima</t>
  </si>
  <si>
    <t>Crediti per imposte anticipate</t>
  </si>
  <si>
    <t>Debiti per imposte differite</t>
  </si>
  <si>
    <t>var. imposte anticipate o differite</t>
  </si>
  <si>
    <t>stima</t>
  </si>
  <si>
    <t>Fornitori e Altri debiti</t>
  </si>
  <si>
    <t>variazione fornitori e altri debiti</t>
  </si>
  <si>
    <t>immobilizzazioni immateriali</t>
  </si>
  <si>
    <t>IMMOBILIZZAZIONI IMMATERIALI</t>
  </si>
  <si>
    <t>IMMOBILIZZAZIONI MATERIALI</t>
  </si>
  <si>
    <t>Altri ricavi</t>
  </si>
  <si>
    <t>ammortamenti immo imm nuove</t>
  </si>
  <si>
    <t>ammortamenti immo  mat nuove</t>
  </si>
  <si>
    <t>acquisizione immobilizzazioni</t>
  </si>
  <si>
    <t>ricavi vendite immobilizzazioni</t>
  </si>
  <si>
    <t>DISINVESTIMENTI</t>
  </si>
  <si>
    <t>RIDUZIONE AMMORTAMENTO</t>
  </si>
  <si>
    <t>plus(minus) su immob immateriali</t>
  </si>
  <si>
    <t>plus(minus) su immob materiali</t>
  </si>
  <si>
    <t>plus(minus) su immob finanziarie</t>
  </si>
  <si>
    <t>Debiti verso banche a breve</t>
  </si>
  <si>
    <t>Plusvalenze(Minusvalenze)</t>
  </si>
  <si>
    <t>DESCRIZIONE</t>
  </si>
  <si>
    <r>
      <t>TOTALE</t>
    </r>
    <r>
      <rPr>
        <sz val="8"/>
        <color rgb="FFFF0000"/>
        <rFont val="Arial"/>
        <family val="2"/>
      </rPr>
      <t xml:space="preserve"> DISINVESTIMENTI </t>
    </r>
  </si>
  <si>
    <t>Sintel Ft. 371/16 - SQLCAL</t>
  </si>
  <si>
    <t>Sintel Ft. 496/16 - Uptrade</t>
  </si>
  <si>
    <t>Sintel Ft. 643/16 - Renewal EDU</t>
  </si>
  <si>
    <t>piano a 3 anni</t>
  </si>
  <si>
    <t>Piano a 3 anni</t>
  </si>
  <si>
    <t>2019/21</t>
  </si>
  <si>
    <t>Traslochi Grosso La Valle Ft. 51</t>
  </si>
  <si>
    <t>Traslochi Grosso La Valle Ft. 58</t>
  </si>
  <si>
    <t>Idromax Ft. 37 - Sgombero e smaltimento</t>
  </si>
  <si>
    <t>Carpenterie metalliche Ft. 30 - Costruz e posa pareti</t>
  </si>
  <si>
    <t>Baratta srl Ft. 44 - Manutenzione impianti elettrici</t>
  </si>
  <si>
    <t>Charles Diego Ft. 9 - Tinteggiatura</t>
  </si>
  <si>
    <t>Idromax Ft. 47 - Realizzazione opere sanitarie e edili</t>
  </si>
  <si>
    <t>Baratta srl Ft. 47 - Manutenzione impianti elettrici</t>
  </si>
  <si>
    <t>Baratta srl Ft. 56 - Manutenzione impianti elettrici</t>
  </si>
  <si>
    <t>Baratta srl Ft. 58 - Manutenzione impianti elettrici</t>
  </si>
  <si>
    <t>Carpenterie metalliche Ft. 34 - Costruz e posa pareti</t>
  </si>
  <si>
    <t>Borney Legnami srl Ft. 675 - Pannelli OSB3</t>
  </si>
  <si>
    <t>Borney Legnami srl Ft. 779 - Pannello fenolico</t>
  </si>
  <si>
    <t>Idromax Ft. 92 - Realizzazione opere idrotermosanitarie</t>
  </si>
  <si>
    <t>Electric Center spa Ft. 3994 - Prodigy 24W</t>
  </si>
  <si>
    <t>Electric Center spa Ft. 4063 - Prodigy 24W</t>
  </si>
  <si>
    <t>Frama Serramenti Ft. 715 - Fornitura/posa/manutenz serramenti</t>
  </si>
  <si>
    <t>Frama Serramenti Ft. 716 - Fornitura/posa/manutenz serramenti</t>
  </si>
  <si>
    <t>Sintel Ft. 24 - Hp hdd interni modello 652615-B21</t>
  </si>
  <si>
    <t>Linea Arredamenti Ft. 538 - Scrivanie</t>
  </si>
  <si>
    <t>Linea Arredamenti Ft. 537 - Mobili bassi</t>
  </si>
  <si>
    <t>Prisma srl Ft. 570 - Sedie</t>
  </si>
  <si>
    <t>Idromax Ft. 1/17 - Realizzazione opere idrotermosanitarie</t>
  </si>
  <si>
    <t>Charles Diego Ft. 2/17 - Tinteggiatura</t>
  </si>
  <si>
    <t>Charles Diego Ft. 1/17 - Tinteggiatura</t>
  </si>
  <si>
    <t>Idromax Ft. 33 - Realizzazione impianto ventilazione</t>
  </si>
  <si>
    <t>Charles Diego Ft. 3 - Tinteggiatura</t>
  </si>
  <si>
    <t>Charles Diego Ft. 4 - Tinteggiatura</t>
  </si>
  <si>
    <t>Charles Diego Ft. 1 - Tinteggiatura</t>
  </si>
  <si>
    <t>Charles Diego Ft. 2 - Tinteggiatura</t>
  </si>
  <si>
    <t>Charles Diego Ft. 3F - Tinteggiatura</t>
  </si>
  <si>
    <t>Idromax Ft. 50 - Realizzazione impianto riscaldamento</t>
  </si>
  <si>
    <t>Netphone srl Ft. 204 - Fornitura telefoni</t>
  </si>
  <si>
    <t>Arcadia srl Ft. 118 - Insegna esercizio</t>
  </si>
  <si>
    <t>Prontufficio srl Ft. 631 - Sedie</t>
  </si>
  <si>
    <t>Lagoval snc Ft. 53 - Portatili HP 250</t>
  </si>
  <si>
    <t>Lagoval snc Ft. 54 - Portatili HP 250</t>
  </si>
  <si>
    <t>Lagoval snc Ft. 55 - Portatili HP 250</t>
  </si>
  <si>
    <t>Lagoval snc Ft. 56 - Portatili HP 250</t>
  </si>
  <si>
    <t>Lagoval snc Ft. 57 - Portatili HP 250</t>
  </si>
  <si>
    <t>Lagoval snc Ft. 58 - Portatili HP 250</t>
  </si>
  <si>
    <t>Sintel Ft. 242 - WorkCentre</t>
  </si>
  <si>
    <t>Bellesolo e Passarin Ft. 21 - Ripiani</t>
  </si>
  <si>
    <t>Sintel Ft. 64 - Videoproiettore Hitachi</t>
  </si>
  <si>
    <t>Bellesolo e Passarin Ft. 4 - Mobili</t>
  </si>
  <si>
    <t>Sintel Ft. 162 - Switch</t>
  </si>
  <si>
    <t>Casacci snc Ft. 78  - Macchine per cucire</t>
  </si>
  <si>
    <t>Casacci snc Ft. 121 - Macchine per cucire</t>
  </si>
  <si>
    <t>Ikea srl Ft. 97 - Mobili</t>
  </si>
  <si>
    <t>Assoc Vald Impianti a fune Ft. 2 - Tavolo e poltroncine</t>
  </si>
  <si>
    <t>Ricavi FSE esenti</t>
  </si>
  <si>
    <t>Ricavi esenti</t>
  </si>
  <si>
    <t>Ricavi imponibili</t>
  </si>
  <si>
    <t>Ricavi per altre prestazioni</t>
  </si>
  <si>
    <t>Abbuoni attivi</t>
  </si>
  <si>
    <t>Arrotondamenti attivi</t>
  </si>
  <si>
    <t>Sopravvenienze attive</t>
  </si>
  <si>
    <t>Sopravvenienze attive sic. non imp.</t>
  </si>
  <si>
    <t>Cancelleria per corsi</t>
  </si>
  <si>
    <t>Spese per docenze</t>
  </si>
  <si>
    <t>Spese per tutoraggio</t>
  </si>
  <si>
    <t>Spese per coordinamento</t>
  </si>
  <si>
    <t>Spese per progettazione</t>
  </si>
  <si>
    <t>Spese per selezione</t>
  </si>
  <si>
    <t>Spese diverse corsi</t>
  </si>
  <si>
    <t>Borse di studio allievi</t>
  </si>
  <si>
    <t>Consulenze tecniche</t>
  </si>
  <si>
    <t>Spese di pulizia</t>
  </si>
  <si>
    <t>Spese condominiali</t>
  </si>
  <si>
    <t>Spese per elab. materiale</t>
  </si>
  <si>
    <t>Spese per esami finali</t>
  </si>
  <si>
    <t>Quota prestazioni ATI</t>
  </si>
  <si>
    <t>Acquisti materiali di consumo</t>
  </si>
  <si>
    <t>Materiale didattico</t>
  </si>
  <si>
    <t>Acquisti beni vari</t>
  </si>
  <si>
    <t>Spese di cancelleria</t>
  </si>
  <si>
    <t>Note per corsi ind. IRAP</t>
  </si>
  <si>
    <t>Energia elettrica</t>
  </si>
  <si>
    <t>Spese per riscaldamento</t>
  </si>
  <si>
    <t>Spese acquedotto e TARSU</t>
  </si>
  <si>
    <t>Manutenzione beni di terzi</t>
  </si>
  <si>
    <t>Manutenzione in abbonamento</t>
  </si>
  <si>
    <t>Spese diverse Bard</t>
  </si>
  <si>
    <t>Emolumenti amministratori</t>
  </si>
  <si>
    <t>Costo per lavoro interinale</t>
  </si>
  <si>
    <t>Pubblicità e propaganda</t>
  </si>
  <si>
    <t>Consulenza legale e notarile</t>
  </si>
  <si>
    <t>Spese telefoniche</t>
  </si>
  <si>
    <t>Assicurazioni e fidejussioni</t>
  </si>
  <si>
    <t>Spese di rappresentanza e omaggi</t>
  </si>
  <si>
    <t>Soggiorni</t>
  </si>
  <si>
    <t>Consulenze del lavoro</t>
  </si>
  <si>
    <t>Consulenze fiscali</t>
  </si>
  <si>
    <t>Spese postali</t>
  </si>
  <si>
    <t>Spese bancarie</t>
  </si>
  <si>
    <t>Consulenze del lavoro BARD</t>
  </si>
  <si>
    <t>Compensi sindaci</t>
  </si>
  <si>
    <t>Prestazione di serv. vari</t>
  </si>
  <si>
    <t>Spese diverse</t>
  </si>
  <si>
    <t>Mauntenzione hardware e software</t>
  </si>
  <si>
    <t>Locazioni pass. beni immo</t>
  </si>
  <si>
    <t>Noleggi diversi</t>
  </si>
  <si>
    <t>Canoni diversi</t>
  </si>
  <si>
    <t>Salari e stipendi</t>
  </si>
  <si>
    <t>Oneri sociali</t>
  </si>
  <si>
    <t>Trattamento di fine rapporto</t>
  </si>
  <si>
    <t>Altri costi</t>
  </si>
  <si>
    <t>svalutazione crediti attivo circol</t>
  </si>
  <si>
    <t>Proventi diversi dai precedenti</t>
  </si>
  <si>
    <t>Interessi e altri oneri finanziari</t>
  </si>
  <si>
    <t>Omaggi alla clientela &lt; € 25,82</t>
  </si>
  <si>
    <t>Varie deducibili</t>
  </si>
  <si>
    <t>Staples Ft. 7058738/18 - mobili</t>
  </si>
  <si>
    <t>Sintel Ft. 631/18 - videoproiettore</t>
  </si>
  <si>
    <t>Sintel Ft 799/2018 - server</t>
  </si>
  <si>
    <t>Sintel Ft 720/2018 - materiale informatico</t>
  </si>
  <si>
    <t>Sintel Ft 767/2018 - stampante</t>
  </si>
  <si>
    <t>Risarcimento danni</t>
  </si>
  <si>
    <t>Manutenzione beni propri</t>
  </si>
  <si>
    <t>SKLUM SL Ft. 10749 - sedie</t>
  </si>
  <si>
    <t>Sintel Ft. 76/19 - Materiale informatico</t>
  </si>
  <si>
    <t>Sintel Ft. 142/19 - PC</t>
  </si>
  <si>
    <t>Sintel Ft. 217/19 - Firewall</t>
  </si>
  <si>
    <t>Sintel Ft. 362/19 - fotocpiatore</t>
  </si>
  <si>
    <t>Sintel Ft. 628/19 - fotocpiatore</t>
  </si>
  <si>
    <t>Costi indeducibili</t>
  </si>
  <si>
    <t>acc.to svalutaz crediti</t>
  </si>
  <si>
    <t>acc.to fondo rischi</t>
  </si>
  <si>
    <t>annullamento partecipazione</t>
  </si>
  <si>
    <t>altro a quadratura</t>
  </si>
  <si>
    <t>utilizzo fondo rischi e altre rettifiche</t>
  </si>
  <si>
    <t>rettifica su bs inf 516 euro</t>
  </si>
  <si>
    <t>Palamara Antonino - Ft 233 - porta Chatillon</t>
  </si>
  <si>
    <t>Ecoufficio Ft 4/19 - mobili</t>
  </si>
  <si>
    <t>Stima acquisto mobili</t>
  </si>
  <si>
    <t>9% primo anno 18% anni succ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</si>
</sst>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;\(#,##0\)"/>
    <numFmt numFmtId="166" formatCode="d\ mmmm\ yy\ \ \ \ \ h\hmm"/>
    <numFmt numFmtId="167" formatCode="d\-mmmm\-yy"/>
    <numFmt numFmtId="168" formatCode="#,##0\ &quot;ME&quot;"/>
    <numFmt numFmtId="169" formatCode="0.0"/>
    <numFmt numFmtId="170" formatCode="#,##0.00;\(#,##0.00\)"/>
    <numFmt numFmtId="171" formatCode="#,##0\ _F"/>
  </numFmts>
  <fonts count="1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0000FF"/>
      <name val="Arial"/>
      <family val="2"/>
    </font>
    <font>
      <b/>
      <sz val="9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41"/>
      </patternFill>
    </fill>
    <fill>
      <patternFill patternType="solid">
        <fgColor rgb="FFFFFFCC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/>
      <diagonal/>
    </border>
    <border>
      <left/>
      <right style="thin">
        <color indexed="64"/>
      </right>
      <top style="hair">
        <color indexed="12"/>
      </top>
      <bottom/>
      <diagonal/>
    </border>
    <border>
      <left/>
      <right/>
      <top style="hair">
        <color indexed="1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FF"/>
      </top>
      <bottom/>
      <diagonal/>
    </border>
  </borders>
  <cellStyleXfs count="7">
    <xf numFmtId="0" fontId="0" fillId="0" borderId="0"/>
    <xf numFmtId="4" fontId="2" fillId="0" borderId="0" applyFont="0" applyFill="0" applyBorder="0" applyAlignment="0" applyProtection="0"/>
    <xf numFmtId="0" fontId="13" fillId="0" borderId="0"/>
    <xf numFmtId="41" fontId="5" fillId="0" borderId="0" applyFont="0" applyFill="0" applyBorder="0" applyAlignment="0" applyProtection="0"/>
    <xf numFmtId="0" fontId="1" fillId="7" borderId="1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76">
    <xf numFmtId="0" fontId="0" fillId="0" borderId="0" xfId="0"/>
    <xf numFmtId="1" fontId="7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7" fillId="0" borderId="0" xfId="0" applyNumberFormat="1" applyFont="1"/>
    <xf numFmtId="166" fontId="3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" fontId="5" fillId="0" borderId="0" xfId="0" applyNumberFormat="1" applyFont="1" applyAlignment="1">
      <alignment vertical="center"/>
    </xf>
    <xf numFmtId="1" fontId="3" fillId="0" borderId="0" xfId="0" applyNumberFormat="1" applyFont="1"/>
    <xf numFmtId="1" fontId="5" fillId="0" borderId="0" xfId="0" applyNumberFormat="1" applyFont="1"/>
    <xf numFmtId="165" fontId="6" fillId="0" borderId="0" xfId="0" applyNumberFormat="1" applyFont="1" applyBorder="1"/>
    <xf numFmtId="165" fontId="6" fillId="0" borderId="1" xfId="0" applyNumberFormat="1" applyFont="1" applyBorder="1"/>
    <xf numFmtId="1" fontId="3" fillId="0" borderId="3" xfId="0" applyNumberFormat="1" applyFont="1" applyBorder="1" applyAlignment="1">
      <alignment horizontal="left"/>
    </xf>
    <xf numFmtId="165" fontId="3" fillId="0" borderId="0" xfId="0" applyNumberFormat="1" applyFont="1" applyBorder="1"/>
    <xf numFmtId="165" fontId="3" fillId="0" borderId="1" xfId="0" applyNumberFormat="1" applyFont="1" applyBorder="1"/>
    <xf numFmtId="1" fontId="9" fillId="0" borderId="3" xfId="0" applyNumberFormat="1" applyFont="1" applyBorder="1" applyAlignment="1">
      <alignment horizontal="left"/>
    </xf>
    <xf numFmtId="1" fontId="3" fillId="3" borderId="6" xfId="0" applyNumberFormat="1" applyFont="1" applyFill="1" applyBorder="1"/>
    <xf numFmtId="165" fontId="3" fillId="0" borderId="8" xfId="0" applyNumberFormat="1" applyFont="1" applyBorder="1"/>
    <xf numFmtId="165" fontId="4" fillId="4" borderId="6" xfId="0" applyNumberFormat="1" applyFont="1" applyFill="1" applyBorder="1" applyAlignment="1">
      <alignment horizontal="left"/>
    </xf>
    <xf numFmtId="165" fontId="4" fillId="0" borderId="0" xfId="0" applyNumberFormat="1" applyFont="1" applyBorder="1"/>
    <xf numFmtId="1" fontId="5" fillId="0" borderId="0" xfId="0" applyNumberFormat="1" applyFont="1" applyFill="1" applyBorder="1"/>
    <xf numFmtId="1" fontId="7" fillId="0" borderId="0" xfId="0" applyNumberFormat="1" applyFont="1" applyAlignment="1">
      <alignment vertical="center"/>
    </xf>
    <xf numFmtId="1" fontId="3" fillId="3" borderId="6" xfId="0" applyNumberFormat="1" applyFont="1" applyFill="1" applyBorder="1" applyAlignment="1">
      <alignment horizontal="left"/>
    </xf>
    <xf numFmtId="165" fontId="3" fillId="0" borderId="4" xfId="0" applyNumberFormat="1" applyFont="1" applyBorder="1"/>
    <xf numFmtId="165" fontId="3" fillId="0" borderId="0" xfId="0" applyNumberFormat="1" applyFont="1" applyFill="1" applyBorder="1"/>
    <xf numFmtId="1" fontId="3" fillId="4" borderId="6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164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/>
    <xf numFmtId="164" fontId="3" fillId="3" borderId="10" xfId="0" applyNumberFormat="1" applyFont="1" applyFill="1" applyBorder="1" applyAlignment="1">
      <alignment horizontal="left"/>
    </xf>
    <xf numFmtId="165" fontId="3" fillId="3" borderId="6" xfId="0" applyNumberFormat="1" applyFont="1" applyFill="1" applyBorder="1"/>
    <xf numFmtId="165" fontId="3" fillId="0" borderId="3" xfId="0" applyNumberFormat="1" applyFont="1" applyFill="1" applyBorder="1"/>
    <xf numFmtId="165" fontId="3" fillId="0" borderId="8" xfId="0" applyNumberFormat="1" applyFont="1" applyFill="1" applyBorder="1"/>
    <xf numFmtId="165" fontId="3" fillId="0" borderId="5" xfId="0" applyNumberFormat="1" applyFont="1" applyFill="1" applyBorder="1"/>
    <xf numFmtId="0" fontId="5" fillId="0" borderId="0" xfId="0" applyFont="1" applyFill="1" applyBorder="1"/>
    <xf numFmtId="1" fontId="4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/>
    <xf numFmtId="1" fontId="7" fillId="0" borderId="0" xfId="0" applyNumberFormat="1" applyFont="1" applyFill="1"/>
    <xf numFmtId="1" fontId="5" fillId="0" borderId="0" xfId="0" applyNumberFormat="1" applyFont="1" applyFill="1" applyBorder="1" applyAlignment="1">
      <alignment vertical="top"/>
    </xf>
    <xf numFmtId="1" fontId="3" fillId="0" borderId="15" xfId="0" applyNumberFormat="1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" fontId="10" fillId="2" borderId="15" xfId="0" applyNumberFormat="1" applyFont="1" applyFill="1" applyBorder="1" applyAlignment="1">
      <alignment horizontal="centerContinuous" vertical="top"/>
    </xf>
    <xf numFmtId="1" fontId="4" fillId="2" borderId="5" xfId="0" applyNumberFormat="1" applyFont="1" applyFill="1" applyBorder="1" applyAlignment="1">
      <alignment horizontal="center"/>
    </xf>
    <xf numFmtId="167" fontId="8" fillId="0" borderId="5" xfId="0" applyNumberFormat="1" applyFont="1" applyBorder="1" applyAlignment="1"/>
    <xf numFmtId="0" fontId="3" fillId="0" borderId="1" xfId="0" applyFont="1" applyFill="1" applyBorder="1"/>
    <xf numFmtId="165" fontId="4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Protection="1">
      <protection locked="0"/>
    </xf>
    <xf numFmtId="166" fontId="3" fillId="0" borderId="0" xfId="0" applyNumberFormat="1" applyFont="1" applyFill="1" applyBorder="1" applyAlignment="1">
      <alignment horizontal="centerContinuous" vertical="center"/>
    </xf>
    <xf numFmtId="167" fontId="8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Continuous"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/>
    </xf>
    <xf numFmtId="165" fontId="3" fillId="0" borderId="5" xfId="0" applyNumberFormat="1" applyFont="1" applyBorder="1"/>
    <xf numFmtId="165" fontId="4" fillId="4" borderId="6" xfId="0" applyNumberFormat="1" applyFont="1" applyFill="1" applyBorder="1"/>
    <xf numFmtId="164" fontId="3" fillId="0" borderId="2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Continuous"/>
    </xf>
    <xf numFmtId="1" fontId="3" fillId="0" borderId="3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centerContinuous" vertical="center"/>
    </xf>
    <xf numFmtId="1" fontId="6" fillId="0" borderId="16" xfId="0" applyNumberFormat="1" applyFont="1" applyBorder="1" applyAlignment="1">
      <alignment horizontal="right"/>
    </xf>
    <xf numFmtId="165" fontId="11" fillId="0" borderId="3" xfId="0" applyNumberFormat="1" applyFont="1" applyFill="1" applyBorder="1"/>
    <xf numFmtId="165" fontId="6" fillId="0" borderId="3" xfId="0" applyNumberFormat="1" applyFont="1" applyFill="1" applyBorder="1"/>
    <xf numFmtId="1" fontId="6" fillId="0" borderId="3" xfId="0" applyNumberFormat="1" applyFont="1" applyFill="1" applyBorder="1" applyAlignment="1">
      <alignment horizontal="left"/>
    </xf>
    <xf numFmtId="169" fontId="3" fillId="0" borderId="3" xfId="0" applyNumberFormat="1" applyFont="1" applyBorder="1" applyAlignment="1">
      <alignment horizontal="left" indent="2"/>
    </xf>
    <xf numFmtId="1" fontId="3" fillId="0" borderId="3" xfId="0" applyNumberFormat="1" applyFont="1" applyBorder="1" applyAlignment="1">
      <alignment horizontal="left" indent="2"/>
    </xf>
    <xf numFmtId="1" fontId="4" fillId="2" borderId="4" xfId="0" quotePrefix="1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Continuous" vertical="center"/>
    </xf>
    <xf numFmtId="1" fontId="3" fillId="2" borderId="15" xfId="0" applyNumberFormat="1" applyFont="1" applyFill="1" applyBorder="1" applyAlignment="1">
      <alignment horizontal="center" vertical="top"/>
    </xf>
    <xf numFmtId="1" fontId="4" fillId="2" borderId="5" xfId="0" quotePrefix="1" applyNumberFormat="1" applyFont="1" applyFill="1" applyBorder="1" applyAlignment="1">
      <alignment horizontal="center"/>
    </xf>
    <xf numFmtId="165" fontId="3" fillId="0" borderId="15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5" fillId="0" borderId="5" xfId="0" applyFont="1" applyBorder="1"/>
    <xf numFmtId="165" fontId="3" fillId="3" borderId="6" xfId="0" applyNumberFormat="1" applyFont="1" applyFill="1" applyBorder="1" applyProtection="1">
      <protection locked="0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/>
    <xf numFmtId="1" fontId="4" fillId="2" borderId="11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vertical="center"/>
    </xf>
    <xf numFmtId="165" fontId="3" fillId="6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" fontId="3" fillId="0" borderId="3" xfId="0" applyNumberFormat="1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3" fillId="3" borderId="7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Continuous" vertical="center"/>
    </xf>
    <xf numFmtId="165" fontId="6" fillId="0" borderId="1" xfId="0" applyNumberFormat="1" applyFont="1" applyFill="1" applyBorder="1"/>
    <xf numFmtId="1" fontId="4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/>
    <xf numFmtId="1" fontId="5" fillId="0" borderId="0" xfId="0" applyNumberFormat="1" applyFont="1" applyFill="1"/>
    <xf numFmtId="168" fontId="3" fillId="0" borderId="5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/>
    <xf numFmtId="165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/>
    <xf numFmtId="1" fontId="3" fillId="0" borderId="8" xfId="0" applyNumberFormat="1" applyFont="1" applyFill="1" applyBorder="1" applyAlignment="1">
      <alignment horizontal="left"/>
    </xf>
    <xf numFmtId="164" fontId="3" fillId="0" borderId="8" xfId="0" applyNumberFormat="1" applyFont="1" applyFill="1" applyBorder="1"/>
    <xf numFmtId="168" fontId="3" fillId="0" borderId="2" xfId="1" applyNumberFormat="1" applyFont="1" applyFill="1" applyBorder="1" applyAlignment="1">
      <alignment horizontal="center"/>
    </xf>
    <xf numFmtId="168" fontId="11" fillId="0" borderId="2" xfId="1" applyNumberFormat="1" applyFont="1" applyFill="1" applyBorder="1" applyAlignment="1">
      <alignment horizontal="center"/>
    </xf>
    <xf numFmtId="0" fontId="5" fillId="0" borderId="2" xfId="0" applyFont="1" applyFill="1" applyBorder="1"/>
    <xf numFmtId="1" fontId="4" fillId="0" borderId="2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/>
    </xf>
    <xf numFmtId="1" fontId="3" fillId="0" borderId="15" xfId="0" applyNumberFormat="1" applyFont="1" applyBorder="1" applyAlignment="1">
      <alignment horizontal="left" vertical="center"/>
    </xf>
    <xf numFmtId="165" fontId="3" fillId="0" borderId="6" xfId="0" applyNumberFormat="1" applyFont="1" applyBorder="1"/>
    <xf numFmtId="164" fontId="4" fillId="0" borderId="6" xfId="0" applyNumberFormat="1" applyFont="1" applyBorder="1" applyAlignment="1">
      <alignment horizontal="left"/>
    </xf>
    <xf numFmtId="1" fontId="4" fillId="2" borderId="8" xfId="0" quotePrefix="1" applyNumberFormat="1" applyFont="1" applyFill="1" applyBorder="1" applyAlignment="1">
      <alignment horizontal="center"/>
    </xf>
    <xf numFmtId="165" fontId="3" fillId="0" borderId="6" xfId="0" applyNumberFormat="1" applyFont="1" applyFill="1" applyBorder="1"/>
    <xf numFmtId="1" fontId="4" fillId="2" borderId="3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3" borderId="9" xfId="0" applyNumberFormat="1" applyFont="1" applyFill="1" applyBorder="1" applyAlignment="1">
      <alignment vertical="center"/>
    </xf>
    <xf numFmtId="165" fontId="3" fillId="0" borderId="9" xfId="0" applyNumberFormat="1" applyFont="1" applyBorder="1"/>
    <xf numFmtId="165" fontId="3" fillId="0" borderId="7" xfId="0" applyNumberFormat="1" applyFont="1" applyBorder="1"/>
    <xf numFmtId="165" fontId="3" fillId="3" borderId="9" xfId="0" applyNumberFormat="1" applyFont="1" applyFill="1" applyBorder="1"/>
    <xf numFmtId="165" fontId="3" fillId="3" borderId="7" xfId="0" applyNumberFormat="1" applyFont="1" applyFill="1" applyBorder="1"/>
    <xf numFmtId="165" fontId="3" fillId="4" borderId="9" xfId="0" applyNumberFormat="1" applyFont="1" applyFill="1" applyBorder="1"/>
    <xf numFmtId="165" fontId="3" fillId="4" borderId="7" xfId="0" applyNumberFormat="1" applyFont="1" applyFill="1" applyBorder="1"/>
    <xf numFmtId="165" fontId="3" fillId="3" borderId="6" xfId="0" applyNumberFormat="1" applyFont="1" applyFill="1" applyBorder="1" applyAlignment="1">
      <alignment vertical="center"/>
    </xf>
    <xf numFmtId="1" fontId="3" fillId="2" borderId="15" xfId="0" quotePrefix="1" applyNumberFormat="1" applyFont="1" applyFill="1" applyBorder="1" applyAlignment="1">
      <alignment horizontal="center" vertical="top"/>
    </xf>
    <xf numFmtId="43" fontId="3" fillId="2" borderId="15" xfId="1" applyNumberFormat="1" applyFont="1" applyFill="1" applyBorder="1" applyAlignment="1">
      <alignment horizontal="center" vertical="top"/>
    </xf>
    <xf numFmtId="0" fontId="5" fillId="0" borderId="5" xfId="0" applyFont="1" applyFill="1" applyBorder="1"/>
    <xf numFmtId="1" fontId="10" fillId="0" borderId="0" xfId="0" applyNumberFormat="1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/>
    </xf>
    <xf numFmtId="170" fontId="3" fillId="0" borderId="0" xfId="0" applyNumberFormat="1" applyFont="1" applyBorder="1"/>
    <xf numFmtId="2" fontId="4" fillId="0" borderId="0" xfId="0" applyNumberFormat="1" applyFont="1" applyAlignment="1">
      <alignment horizontal="centerContinuous"/>
    </xf>
    <xf numFmtId="1" fontId="3" fillId="0" borderId="11" xfId="5" applyNumberFormat="1" applyFont="1" applyFill="1" applyBorder="1" applyAlignment="1">
      <alignment vertical="center"/>
    </xf>
    <xf numFmtId="1" fontId="3" fillId="0" borderId="5" xfId="5" applyNumberFormat="1" applyFont="1" applyFill="1" applyBorder="1" applyAlignment="1">
      <alignment horizontal="center" vertical="center"/>
    </xf>
    <xf numFmtId="1" fontId="3" fillId="5" borderId="7" xfId="5" applyNumberFormat="1" applyFont="1" applyFill="1" applyBorder="1" applyAlignment="1">
      <alignment horizontal="center" vertical="center"/>
    </xf>
    <xf numFmtId="1" fontId="3" fillId="0" borderId="0" xfId="5" applyNumberFormat="1" applyFont="1" applyFill="1"/>
    <xf numFmtId="3" fontId="3" fillId="0" borderId="14" xfId="5" applyNumberFormat="1" applyFont="1" applyFill="1" applyBorder="1" applyAlignment="1"/>
    <xf numFmtId="3" fontId="3" fillId="0" borderId="15" xfId="5" applyNumberFormat="1" applyFont="1" applyFill="1" applyBorder="1" applyAlignment="1">
      <alignment horizontal="center" vertical="center"/>
    </xf>
    <xf numFmtId="3" fontId="3" fillId="5" borderId="7" xfId="5" applyNumberFormat="1" applyFont="1" applyFill="1" applyBorder="1" applyAlignment="1">
      <alignment horizontal="center" vertical="center"/>
    </xf>
    <xf numFmtId="3" fontId="3" fillId="0" borderId="20" xfId="5" quotePrefix="1" applyNumberFormat="1" applyFont="1" applyFill="1" applyBorder="1" applyAlignment="1">
      <alignment vertical="center"/>
    </xf>
    <xf numFmtId="0" fontId="3" fillId="0" borderId="0" xfId="5" applyFont="1" applyFill="1" applyAlignment="1"/>
    <xf numFmtId="171" fontId="3" fillId="0" borderId="2" xfId="5" applyNumberFormat="1" applyFont="1" applyFill="1" applyBorder="1" applyAlignment="1" applyProtection="1">
      <alignment vertical="center"/>
    </xf>
    <xf numFmtId="3" fontId="3" fillId="0" borderId="3" xfId="5" applyNumberFormat="1" applyFont="1" applyFill="1" applyBorder="1" applyAlignment="1">
      <alignment vertical="center"/>
    </xf>
    <xf numFmtId="3" fontId="3" fillId="0" borderId="2" xfId="5" applyNumberFormat="1" applyFont="1" applyFill="1" applyBorder="1" applyAlignment="1" applyProtection="1">
      <alignment vertical="center"/>
    </xf>
    <xf numFmtId="3" fontId="3" fillId="0" borderId="21" xfId="5" applyNumberFormat="1" applyFont="1" applyFill="1" applyBorder="1" applyAlignment="1">
      <alignment vertical="center"/>
    </xf>
    <xf numFmtId="0" fontId="3" fillId="0" borderId="0" xfId="5" applyFont="1" applyFill="1"/>
    <xf numFmtId="3" fontId="3" fillId="5" borderId="3" xfId="5" applyNumberFormat="1" applyFont="1" applyFill="1" applyBorder="1"/>
    <xf numFmtId="49" fontId="4" fillId="8" borderId="10" xfId="5" applyNumberFormat="1" applyFont="1" applyFill="1" applyBorder="1" applyAlignment="1">
      <alignment horizontal="centerContinuous" vertical="center"/>
    </xf>
    <xf numFmtId="3" fontId="3" fillId="8" borderId="6" xfId="5" applyNumberFormat="1" applyFont="1" applyFill="1" applyBorder="1" applyAlignment="1">
      <alignment vertical="center"/>
    </xf>
    <xf numFmtId="3" fontId="3" fillId="8" borderId="10" xfId="5" applyNumberFormat="1" applyFont="1" applyFill="1" applyBorder="1" applyAlignment="1">
      <alignment vertical="center"/>
    </xf>
    <xf numFmtId="3" fontId="3" fillId="8" borderId="22" xfId="5" applyNumberFormat="1" applyFont="1" applyFill="1" applyBorder="1" applyAlignment="1">
      <alignment vertical="center"/>
    </xf>
    <xf numFmtId="0" fontId="3" fillId="0" borderId="0" xfId="5" applyFont="1"/>
    <xf numFmtId="3" fontId="3" fillId="0" borderId="0" xfId="5" applyNumberFormat="1" applyFont="1" applyFill="1"/>
    <xf numFmtId="49" fontId="4" fillId="0" borderId="9" xfId="5" applyNumberFormat="1" applyFont="1" applyFill="1" applyBorder="1" applyAlignment="1" applyProtection="1">
      <alignment vertical="center"/>
    </xf>
    <xf numFmtId="3" fontId="3" fillId="0" borderId="9" xfId="5" applyNumberFormat="1" applyFont="1" applyFill="1" applyBorder="1" applyAlignment="1" applyProtection="1">
      <alignment vertical="center"/>
    </xf>
    <xf numFmtId="3" fontId="3" fillId="0" borderId="22" xfId="5" applyNumberFormat="1" applyFont="1" applyFill="1" applyBorder="1" applyAlignment="1">
      <alignment vertical="center"/>
    </xf>
    <xf numFmtId="0" fontId="3" fillId="0" borderId="0" xfId="5" applyFont="1" applyFill="1" applyBorder="1"/>
    <xf numFmtId="49" fontId="4" fillId="5" borderId="10" xfId="5" applyNumberFormat="1" applyFont="1" applyFill="1" applyBorder="1" applyAlignment="1">
      <alignment horizontal="centerContinuous" vertical="center"/>
    </xf>
    <xf numFmtId="3" fontId="4" fillId="5" borderId="6" xfId="5" applyNumberFormat="1" applyFont="1" applyFill="1" applyBorder="1" applyAlignment="1">
      <alignment vertical="center"/>
    </xf>
    <xf numFmtId="3" fontId="3" fillId="0" borderId="0" xfId="5" applyNumberFormat="1" applyFont="1" applyBorder="1"/>
    <xf numFmtId="3" fontId="3" fillId="0" borderId="0" xfId="5" applyNumberFormat="1" applyFont="1"/>
    <xf numFmtId="3" fontId="9" fillId="0" borderId="0" xfId="5" applyNumberFormat="1" applyFont="1" applyFill="1"/>
    <xf numFmtId="0" fontId="5" fillId="0" borderId="0" xfId="5"/>
    <xf numFmtId="3" fontId="5" fillId="0" borderId="0" xfId="5" applyNumberFormat="1" applyFont="1" applyBorder="1"/>
    <xf numFmtId="3" fontId="5" fillId="0" borderId="0" xfId="5" applyNumberFormat="1" applyFont="1"/>
    <xf numFmtId="3" fontId="5" fillId="0" borderId="0" xfId="5" applyNumberFormat="1" applyFont="1" applyFill="1"/>
    <xf numFmtId="3" fontId="5" fillId="0" borderId="0" xfId="5" applyNumberFormat="1"/>
    <xf numFmtId="2" fontId="9" fillId="0" borderId="0" xfId="0" applyNumberFormat="1" applyFont="1" applyAlignment="1">
      <alignment horizontal="right"/>
    </xf>
    <xf numFmtId="165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Alignment="1">
      <alignment horizontal="left"/>
    </xf>
    <xf numFmtId="1" fontId="4" fillId="0" borderId="0" xfId="0" quotePrefix="1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6" xfId="5" applyNumberFormat="1" applyFont="1" applyFill="1" applyBorder="1" applyAlignment="1">
      <alignment horizontal="center" vertical="center"/>
    </xf>
    <xf numFmtId="1" fontId="3" fillId="0" borderId="10" xfId="5" applyNumberFormat="1" applyFont="1" applyFill="1" applyBorder="1" applyAlignment="1">
      <alignment horizontal="center" vertical="center"/>
    </xf>
    <xf numFmtId="3" fontId="3" fillId="0" borderId="23" xfId="5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left"/>
    </xf>
    <xf numFmtId="1" fontId="4" fillId="2" borderId="15" xfId="0" applyNumberFormat="1" applyFont="1" applyFill="1" applyBorder="1" applyAlignment="1">
      <alignment horizontal="center"/>
    </xf>
    <xf numFmtId="1" fontId="14" fillId="0" borderId="1" xfId="0" quotePrefix="1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1" fontId="3" fillId="9" borderId="6" xfId="0" applyNumberFormat="1" applyFont="1" applyFill="1" applyBorder="1" applyAlignment="1">
      <alignment horizontal="left"/>
    </xf>
    <xf numFmtId="165" fontId="3" fillId="9" borderId="6" xfId="0" applyNumberFormat="1" applyFont="1" applyFill="1" applyBorder="1"/>
    <xf numFmtId="1" fontId="3" fillId="0" borderId="3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vertical="center"/>
    </xf>
    <xf numFmtId="0" fontId="5" fillId="11" borderId="5" xfId="0" applyFont="1" applyFill="1" applyBorder="1"/>
    <xf numFmtId="165" fontId="3" fillId="11" borderId="3" xfId="0" applyNumberFormat="1" applyFont="1" applyFill="1" applyBorder="1"/>
    <xf numFmtId="168" fontId="3" fillId="11" borderId="5" xfId="0" applyNumberFormat="1" applyFont="1" applyFill="1" applyBorder="1" applyAlignment="1">
      <alignment horizontal="center"/>
    </xf>
    <xf numFmtId="168" fontId="3" fillId="11" borderId="3" xfId="0" applyNumberFormat="1" applyFont="1" applyFill="1" applyBorder="1" applyAlignment="1">
      <alignment horizontal="center"/>
    </xf>
    <xf numFmtId="165" fontId="3" fillId="11" borderId="15" xfId="0" applyNumberFormat="1" applyFont="1" applyFill="1" applyBorder="1"/>
    <xf numFmtId="165" fontId="3" fillId="11" borderId="1" xfId="0" applyNumberFormat="1" applyFont="1" applyFill="1" applyBorder="1"/>
    <xf numFmtId="165" fontId="3" fillId="11" borderId="0" xfId="0" applyNumberFormat="1" applyFont="1" applyFill="1" applyBorder="1"/>
    <xf numFmtId="165" fontId="3" fillId="11" borderId="5" xfId="0" applyNumberFormat="1" applyFont="1" applyFill="1" applyBorder="1"/>
    <xf numFmtId="165" fontId="3" fillId="11" borderId="6" xfId="0" applyNumberFormat="1" applyFont="1" applyFill="1" applyBorder="1"/>
    <xf numFmtId="165" fontId="6" fillId="11" borderId="16" xfId="0" applyNumberFormat="1" applyFont="1" applyFill="1" applyBorder="1"/>
    <xf numFmtId="165" fontId="6" fillId="11" borderId="17" xfId="0" applyNumberFormat="1" applyFont="1" applyFill="1" applyBorder="1"/>
    <xf numFmtId="165" fontId="3" fillId="11" borderId="8" xfId="0" applyNumberFormat="1" applyFont="1" applyFill="1" applyBorder="1"/>
    <xf numFmtId="165" fontId="3" fillId="11" borderId="4" xfId="0" applyNumberFormat="1" applyFont="1" applyFill="1" applyBorder="1"/>
    <xf numFmtId="165" fontId="3" fillId="11" borderId="9" xfId="0" applyNumberFormat="1" applyFont="1" applyFill="1" applyBorder="1"/>
    <xf numFmtId="165" fontId="3" fillId="11" borderId="7" xfId="0" applyNumberFormat="1" applyFont="1" applyFill="1" applyBorder="1"/>
    <xf numFmtId="165" fontId="6" fillId="11" borderId="18" xfId="0" applyNumberFormat="1" applyFont="1" applyFill="1" applyBorder="1"/>
    <xf numFmtId="165" fontId="3" fillId="12" borderId="3" xfId="0" applyNumberFormat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vertical="center"/>
    </xf>
    <xf numFmtId="165" fontId="3" fillId="12" borderId="5" xfId="0" applyNumberFormat="1" applyFont="1" applyFill="1" applyBorder="1" applyAlignment="1">
      <alignment vertical="center"/>
    </xf>
    <xf numFmtId="165" fontId="3" fillId="12" borderId="8" xfId="0" applyNumberFormat="1" applyFont="1" applyFill="1" applyBorder="1" applyAlignment="1">
      <alignment vertical="center"/>
    </xf>
    <xf numFmtId="165" fontId="3" fillId="12" borderId="4" xfId="0" applyNumberFormat="1" applyFont="1" applyFill="1" applyBorder="1" applyAlignment="1">
      <alignment vertical="center"/>
    </xf>
    <xf numFmtId="165" fontId="3" fillId="12" borderId="0" xfId="0" applyNumberFormat="1" applyFont="1" applyFill="1" applyBorder="1" applyAlignment="1">
      <alignment vertical="center"/>
    </xf>
    <xf numFmtId="165" fontId="3" fillId="12" borderId="15" xfId="0" applyNumberFormat="1" applyFont="1" applyFill="1" applyBorder="1" applyAlignment="1">
      <alignment vertical="center"/>
    </xf>
    <xf numFmtId="165" fontId="3" fillId="12" borderId="13" xfId="0" applyNumberFormat="1" applyFont="1" applyFill="1" applyBorder="1" applyAlignment="1">
      <alignment vertical="center"/>
    </xf>
    <xf numFmtId="165" fontId="3" fillId="12" borderId="12" xfId="0" applyNumberFormat="1" applyFont="1" applyFill="1" applyBorder="1" applyAlignment="1">
      <alignment vertical="center"/>
    </xf>
    <xf numFmtId="165" fontId="3" fillId="10" borderId="6" xfId="0" applyNumberFormat="1" applyFont="1" applyFill="1" applyBorder="1" applyAlignment="1">
      <alignment vertical="center"/>
    </xf>
    <xf numFmtId="165" fontId="3" fillId="10" borderId="7" xfId="0" applyNumberFormat="1" applyFont="1" applyFill="1" applyBorder="1" applyAlignment="1">
      <alignment vertical="center"/>
    </xf>
    <xf numFmtId="1" fontId="3" fillId="10" borderId="6" xfId="0" applyNumberFormat="1" applyFont="1" applyFill="1" applyBorder="1" applyAlignment="1">
      <alignment horizontal="left" vertical="center"/>
    </xf>
    <xf numFmtId="165" fontId="3" fillId="10" borderId="9" xfId="0" applyNumberFormat="1" applyFont="1" applyFill="1" applyBorder="1" applyAlignment="1">
      <alignment vertical="center"/>
    </xf>
    <xf numFmtId="165" fontId="3" fillId="10" borderId="6" xfId="0" applyNumberFormat="1" applyFont="1" applyFill="1" applyBorder="1"/>
    <xf numFmtId="165" fontId="3" fillId="10" borderId="7" xfId="0" applyNumberFormat="1" applyFont="1" applyFill="1" applyBorder="1"/>
    <xf numFmtId="1" fontId="3" fillId="10" borderId="6" xfId="0" applyNumberFormat="1" applyFont="1" applyFill="1" applyBorder="1" applyAlignment="1">
      <alignment horizontal="left"/>
    </xf>
    <xf numFmtId="165" fontId="3" fillId="10" borderId="9" xfId="0" applyNumberFormat="1" applyFont="1" applyFill="1" applyBorder="1"/>
    <xf numFmtId="164" fontId="3" fillId="10" borderId="6" xfId="0" applyNumberFormat="1" applyFont="1" applyFill="1" applyBorder="1"/>
    <xf numFmtId="165" fontId="6" fillId="10" borderId="16" xfId="0" applyNumberFormat="1" applyFont="1" applyFill="1" applyBorder="1"/>
    <xf numFmtId="165" fontId="6" fillId="10" borderId="17" xfId="0" applyNumberFormat="1" applyFont="1" applyFill="1" applyBorder="1"/>
    <xf numFmtId="1" fontId="6" fillId="10" borderId="16" xfId="0" applyNumberFormat="1" applyFont="1" applyFill="1" applyBorder="1" applyAlignment="1">
      <alignment horizontal="right"/>
    </xf>
    <xf numFmtId="165" fontId="6" fillId="10" borderId="18" xfId="0" applyNumberFormat="1" applyFont="1" applyFill="1" applyBorder="1"/>
    <xf numFmtId="1" fontId="4" fillId="2" borderId="15" xfId="0" applyNumberFormat="1" applyFont="1" applyFill="1" applyBorder="1" applyAlignment="1">
      <alignment horizontal="center" vertical="top"/>
    </xf>
    <xf numFmtId="1" fontId="4" fillId="2" borderId="11" xfId="0" quotePrefix="1" applyNumberFormat="1" applyFont="1" applyFill="1" applyBorder="1" applyAlignment="1">
      <alignment horizontal="center"/>
    </xf>
    <xf numFmtId="165" fontId="3" fillId="0" borderId="2" xfId="0" applyNumberFormat="1" applyFont="1" applyBorder="1"/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4" fontId="16" fillId="0" borderId="3" xfId="0" applyNumberFormat="1" applyFont="1" applyFill="1" applyBorder="1" applyAlignment="1">
      <alignment vertical="top"/>
    </xf>
    <xf numFmtId="165" fontId="6" fillId="0" borderId="0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/>
    <xf numFmtId="164" fontId="3" fillId="13" borderId="6" xfId="0" applyNumberFormat="1" applyFont="1" applyFill="1" applyBorder="1"/>
    <xf numFmtId="164" fontId="3" fillId="14" borderId="6" xfId="0" applyNumberFormat="1" applyFont="1" applyFill="1" applyBorder="1"/>
    <xf numFmtId="164" fontId="17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top"/>
    </xf>
    <xf numFmtId="1" fontId="3" fillId="0" borderId="3" xfId="0" applyNumberFormat="1" applyFont="1" applyFill="1" applyBorder="1" applyAlignment="1">
      <alignment horizontal="left" indent="2"/>
    </xf>
    <xf numFmtId="1" fontId="3" fillId="0" borderId="6" xfId="0" applyNumberFormat="1" applyFont="1" applyFill="1" applyBorder="1" applyAlignment="1">
      <alignment horizontal="left"/>
    </xf>
    <xf numFmtId="3" fontId="3" fillId="0" borderId="3" xfId="5" applyNumberFormat="1" applyFont="1" applyFill="1" applyBorder="1"/>
    <xf numFmtId="4" fontId="7" fillId="0" borderId="0" xfId="1" applyFont="1"/>
    <xf numFmtId="4" fontId="5" fillId="0" borderId="0" xfId="1" applyFont="1"/>
    <xf numFmtId="4" fontId="15" fillId="0" borderId="0" xfId="1" applyFont="1" applyFill="1" applyBorder="1" applyAlignment="1">
      <alignment horizontal="right"/>
    </xf>
    <xf numFmtId="1" fontId="15" fillId="0" borderId="0" xfId="0" applyNumberFormat="1" applyFont="1"/>
    <xf numFmtId="4" fontId="15" fillId="0" borderId="0" xfId="1" applyFont="1"/>
    <xf numFmtId="4" fontId="5" fillId="0" borderId="0" xfId="1" applyFont="1" applyAlignment="1">
      <alignment vertical="center"/>
    </xf>
    <xf numFmtId="3" fontId="3" fillId="0" borderId="9" xfId="5" applyNumberFormat="1" applyFont="1" applyFill="1" applyBorder="1" applyAlignment="1">
      <alignment vertical="center"/>
    </xf>
    <xf numFmtId="49" fontId="3" fillId="0" borderId="9" xfId="5" applyNumberFormat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Continuous" vertical="top"/>
    </xf>
    <xf numFmtId="1" fontId="3" fillId="2" borderId="13" xfId="0" applyNumberFormat="1" applyFont="1" applyFill="1" applyBorder="1" applyAlignment="1">
      <alignment horizontal="centerContinuous" vertical="top"/>
    </xf>
    <xf numFmtId="1" fontId="3" fillId="2" borderId="12" xfId="0" applyNumberFormat="1" applyFont="1" applyFill="1" applyBorder="1" applyAlignment="1">
      <alignment horizontal="centerContinuous" vertical="top"/>
    </xf>
    <xf numFmtId="1" fontId="5" fillId="0" borderId="0" xfId="5" applyNumberFormat="1" applyFont="1" applyBorder="1"/>
    <xf numFmtId="1" fontId="5" fillId="0" borderId="0" xfId="5" applyNumberFormat="1" applyFont="1"/>
    <xf numFmtId="3" fontId="3" fillId="0" borderId="10" xfId="5" applyNumberFormat="1" applyFont="1" applyFill="1" applyBorder="1" applyAlignment="1">
      <alignment horizontal="center" vertical="center"/>
    </xf>
    <xf numFmtId="3" fontId="3" fillId="0" borderId="9" xfId="5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top"/>
    </xf>
    <xf numFmtId="1" fontId="3" fillId="2" borderId="13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left" vertical="center"/>
    </xf>
  </cellXfs>
  <cellStyles count="7">
    <cellStyle name="Migliaia" xfId="1" builtinId="3"/>
    <cellStyle name="Migliaia [0] 2" xfId="3"/>
    <cellStyle name="Normale" xfId="0" builtinId="0"/>
    <cellStyle name="Normale 2" xfId="2"/>
    <cellStyle name="Normale 3" xfId="5"/>
    <cellStyle name="Nota 2" xfId="4"/>
    <cellStyle name="Percentuale 2" xfId="6"/>
  </cellStyles>
  <dxfs count="0"/>
  <tableStyles count="0" defaultTableStyle="TableStyleMedium9" defaultPivotStyle="PivotStyleLight16"/>
  <colors>
    <mruColors>
      <color rgb="FF0000FF"/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="110" zoomScaleNormal="110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N76" sqref="N76"/>
    </sheetView>
  </sheetViews>
  <sheetFormatPr defaultColWidth="9.140625" defaultRowHeight="12.75" outlineLevelCol="1" x14ac:dyDescent="0.2"/>
  <cols>
    <col min="1" max="1" width="44.42578125" style="177" customWidth="1"/>
    <col min="2" max="2" width="6.42578125" style="178" bestFit="1" customWidth="1"/>
    <col min="3" max="3" width="6.28515625" style="178" customWidth="1"/>
    <col min="4" max="4" width="6" style="178" customWidth="1"/>
    <col min="5" max="5" width="5.7109375" style="178" customWidth="1"/>
    <col min="6" max="8" width="5.7109375" style="179" customWidth="1"/>
    <col min="9" max="11" width="1.7109375" style="179" hidden="1" customWidth="1" outlineLevel="1"/>
    <col min="12" max="12" width="7" style="179" customWidth="1" collapsed="1"/>
    <col min="13" max="16384" width="9.140625" style="176"/>
  </cols>
  <sheetData>
    <row r="1" spans="1:12" s="149" customFormat="1" ht="11.25" customHeight="1" x14ac:dyDescent="0.2">
      <c r="A1" s="146" t="s">
        <v>84</v>
      </c>
      <c r="B1" s="147">
        <v>2016</v>
      </c>
      <c r="C1" s="147">
        <v>2017</v>
      </c>
      <c r="D1" s="147">
        <v>2018</v>
      </c>
      <c r="E1" s="148">
        <v>2019</v>
      </c>
      <c r="F1" s="147">
        <v>2020</v>
      </c>
      <c r="G1" s="186">
        <v>2021</v>
      </c>
      <c r="H1" s="187">
        <v>2022</v>
      </c>
      <c r="I1" s="187"/>
      <c r="J1" s="187"/>
      <c r="K1" s="187"/>
      <c r="L1" s="188" t="s">
        <v>1</v>
      </c>
    </row>
    <row r="2" spans="1:12" s="154" customFormat="1" ht="11.25" customHeight="1" x14ac:dyDescent="0.2">
      <c r="A2" s="150"/>
      <c r="B2" s="151"/>
      <c r="C2" s="151"/>
      <c r="D2" s="151"/>
      <c r="E2" s="152" t="s">
        <v>66</v>
      </c>
      <c r="F2" s="270" t="s">
        <v>89</v>
      </c>
      <c r="G2" s="271"/>
      <c r="H2" s="271"/>
      <c r="I2" s="271"/>
      <c r="J2" s="271"/>
      <c r="K2" s="271"/>
      <c r="L2" s="153"/>
    </row>
    <row r="3" spans="1:12" s="159" customFormat="1" ht="12.75" customHeight="1" x14ac:dyDescent="0.2">
      <c r="A3" s="155" t="s">
        <v>86</v>
      </c>
      <c r="B3" s="156">
        <v>529</v>
      </c>
      <c r="C3" s="156"/>
      <c r="D3" s="156"/>
      <c r="E3" s="160"/>
      <c r="F3" s="157"/>
      <c r="G3" s="157"/>
      <c r="H3" s="157"/>
      <c r="I3" s="157"/>
      <c r="J3" s="157"/>
      <c r="K3" s="157"/>
      <c r="L3" s="158">
        <f t="shared" ref="L3:L36" si="0">SUM(B3:K3)</f>
        <v>529</v>
      </c>
    </row>
    <row r="4" spans="1:12" s="159" customFormat="1" ht="12.75" customHeight="1" x14ac:dyDescent="0.2">
      <c r="A4" s="155" t="s">
        <v>87</v>
      </c>
      <c r="B4" s="156">
        <v>1184.9000000000001</v>
      </c>
      <c r="C4" s="156"/>
      <c r="D4" s="156"/>
      <c r="E4" s="160"/>
      <c r="F4" s="157"/>
      <c r="G4" s="157"/>
      <c r="H4" s="157"/>
      <c r="I4" s="157"/>
      <c r="J4" s="157"/>
      <c r="K4" s="157"/>
      <c r="L4" s="158">
        <f t="shared" si="0"/>
        <v>1184.9000000000001</v>
      </c>
    </row>
    <row r="5" spans="1:12" s="159" customFormat="1" ht="12.75" customHeight="1" x14ac:dyDescent="0.2">
      <c r="A5" s="155" t="s">
        <v>88</v>
      </c>
      <c r="B5" s="156">
        <v>590</v>
      </c>
      <c r="C5" s="156"/>
      <c r="D5" s="156"/>
      <c r="E5" s="160"/>
      <c r="F5" s="157"/>
      <c r="G5" s="157"/>
      <c r="H5" s="157"/>
      <c r="I5" s="157"/>
      <c r="J5" s="157"/>
      <c r="K5" s="157"/>
      <c r="L5" s="158">
        <f t="shared" si="0"/>
        <v>590</v>
      </c>
    </row>
    <row r="6" spans="1:12" s="159" customFormat="1" ht="12.75" customHeight="1" x14ac:dyDescent="0.2">
      <c r="A6" s="155" t="s">
        <v>92</v>
      </c>
      <c r="B6" s="156">
        <v>8500</v>
      </c>
      <c r="C6" s="156"/>
      <c r="D6" s="156"/>
      <c r="E6" s="160"/>
      <c r="F6" s="157"/>
      <c r="G6" s="157"/>
      <c r="H6" s="157"/>
      <c r="I6" s="157"/>
      <c r="J6" s="157"/>
      <c r="K6" s="157"/>
      <c r="L6" s="158">
        <f t="shared" si="0"/>
        <v>8500</v>
      </c>
    </row>
    <row r="7" spans="1:12" s="159" customFormat="1" ht="12.75" customHeight="1" x14ac:dyDescent="0.2">
      <c r="A7" s="155" t="s">
        <v>93</v>
      </c>
      <c r="B7" s="156">
        <v>2000</v>
      </c>
      <c r="C7" s="156"/>
      <c r="D7" s="156"/>
      <c r="E7" s="160"/>
      <c r="F7" s="157"/>
      <c r="G7" s="157"/>
      <c r="H7" s="157"/>
      <c r="I7" s="157"/>
      <c r="J7" s="157"/>
      <c r="K7" s="157"/>
      <c r="L7" s="158">
        <f t="shared" si="0"/>
        <v>2000</v>
      </c>
    </row>
    <row r="8" spans="1:12" s="159" customFormat="1" ht="12.75" customHeight="1" x14ac:dyDescent="0.2">
      <c r="A8" s="155" t="s">
        <v>94</v>
      </c>
      <c r="B8" s="156">
        <v>659.75</v>
      </c>
      <c r="C8" s="156"/>
      <c r="D8" s="156"/>
      <c r="E8" s="160"/>
      <c r="F8" s="157"/>
      <c r="G8" s="157"/>
      <c r="H8" s="157"/>
      <c r="I8" s="157"/>
      <c r="J8" s="157"/>
      <c r="K8" s="157"/>
      <c r="L8" s="158">
        <f t="shared" si="0"/>
        <v>659.75</v>
      </c>
    </row>
    <row r="9" spans="1:12" s="159" customFormat="1" ht="12.75" customHeight="1" x14ac:dyDescent="0.2">
      <c r="A9" s="155" t="s">
        <v>96</v>
      </c>
      <c r="B9" s="156">
        <v>22668.97</v>
      </c>
      <c r="C9" s="156"/>
      <c r="D9" s="156"/>
      <c r="E9" s="160"/>
      <c r="F9" s="157"/>
      <c r="G9" s="157"/>
      <c r="H9" s="157"/>
      <c r="I9" s="157"/>
      <c r="J9" s="157"/>
      <c r="K9" s="157"/>
      <c r="L9" s="158">
        <f t="shared" si="0"/>
        <v>22668.97</v>
      </c>
    </row>
    <row r="10" spans="1:12" s="159" customFormat="1" ht="12.75" customHeight="1" x14ac:dyDescent="0.2">
      <c r="A10" s="155" t="s">
        <v>95</v>
      </c>
      <c r="B10" s="156">
        <v>9500</v>
      </c>
      <c r="C10" s="156"/>
      <c r="D10" s="156"/>
      <c r="E10" s="160"/>
      <c r="F10" s="157"/>
      <c r="G10" s="157"/>
      <c r="H10" s="157"/>
      <c r="I10" s="157"/>
      <c r="J10" s="157"/>
      <c r="K10" s="157"/>
      <c r="L10" s="158">
        <f t="shared" si="0"/>
        <v>9500</v>
      </c>
    </row>
    <row r="11" spans="1:12" s="159" customFormat="1" ht="12.75" customHeight="1" x14ac:dyDescent="0.2">
      <c r="A11" s="155" t="s">
        <v>97</v>
      </c>
      <c r="B11" s="156">
        <v>13000</v>
      </c>
      <c r="C11" s="156"/>
      <c r="D11" s="156"/>
      <c r="E11" s="160"/>
      <c r="F11" s="157"/>
      <c r="G11" s="157"/>
      <c r="H11" s="157"/>
      <c r="I11" s="157"/>
      <c r="J11" s="157"/>
      <c r="K11" s="157"/>
      <c r="L11" s="158">
        <f t="shared" si="0"/>
        <v>13000</v>
      </c>
    </row>
    <row r="12" spans="1:12" s="159" customFormat="1" ht="12.75" customHeight="1" x14ac:dyDescent="0.2">
      <c r="A12" s="155" t="s">
        <v>98</v>
      </c>
      <c r="B12" s="156">
        <v>6393.88</v>
      </c>
      <c r="C12" s="156"/>
      <c r="D12" s="156"/>
      <c r="E12" s="160"/>
      <c r="F12" s="157"/>
      <c r="G12" s="157"/>
      <c r="H12" s="157"/>
      <c r="I12" s="157"/>
      <c r="J12" s="157"/>
      <c r="K12" s="157"/>
      <c r="L12" s="158">
        <f t="shared" si="0"/>
        <v>6393.88</v>
      </c>
    </row>
    <row r="13" spans="1:12" s="159" customFormat="1" ht="12.75" customHeight="1" x14ac:dyDescent="0.2">
      <c r="A13" s="155" t="s">
        <v>99</v>
      </c>
      <c r="B13" s="156">
        <v>18184.73</v>
      </c>
      <c r="C13" s="156"/>
      <c r="D13" s="156"/>
      <c r="E13" s="160"/>
      <c r="F13" s="157"/>
      <c r="G13" s="157"/>
      <c r="H13" s="157"/>
      <c r="I13" s="157"/>
      <c r="J13" s="157"/>
      <c r="K13" s="157"/>
      <c r="L13" s="158">
        <f t="shared" si="0"/>
        <v>18184.73</v>
      </c>
    </row>
    <row r="14" spans="1:12" s="159" customFormat="1" ht="12.75" customHeight="1" x14ac:dyDescent="0.2">
      <c r="A14" s="155" t="s">
        <v>102</v>
      </c>
      <c r="B14" s="156">
        <v>3000</v>
      </c>
      <c r="C14" s="156"/>
      <c r="D14" s="156"/>
      <c r="E14" s="160"/>
      <c r="F14" s="157"/>
      <c r="G14" s="157"/>
      <c r="H14" s="157"/>
      <c r="I14" s="157"/>
      <c r="J14" s="157"/>
      <c r="K14" s="157"/>
      <c r="L14" s="158">
        <f t="shared" si="0"/>
        <v>3000</v>
      </c>
    </row>
    <row r="15" spans="1:12" s="159" customFormat="1" ht="12.75" customHeight="1" x14ac:dyDescent="0.2">
      <c r="A15" s="155" t="s">
        <v>100</v>
      </c>
      <c r="B15" s="156">
        <v>9440</v>
      </c>
      <c r="C15" s="156"/>
      <c r="D15" s="156"/>
      <c r="E15" s="160"/>
      <c r="F15" s="157"/>
      <c r="G15" s="157"/>
      <c r="H15" s="157"/>
      <c r="I15" s="157"/>
      <c r="J15" s="157"/>
      <c r="K15" s="157"/>
      <c r="L15" s="158">
        <f t="shared" si="0"/>
        <v>9440</v>
      </c>
    </row>
    <row r="16" spans="1:12" s="159" customFormat="1" ht="12.75" customHeight="1" x14ac:dyDescent="0.2">
      <c r="A16" s="155" t="s">
        <v>103</v>
      </c>
      <c r="B16" s="156">
        <v>548.44000000000005</v>
      </c>
      <c r="C16" s="156"/>
      <c r="D16" s="156"/>
      <c r="E16" s="160"/>
      <c r="F16" s="157"/>
      <c r="G16" s="157"/>
      <c r="H16" s="157"/>
      <c r="I16" s="157"/>
      <c r="J16" s="157"/>
      <c r="K16" s="157"/>
      <c r="L16" s="158">
        <f t="shared" si="0"/>
        <v>548.44000000000005</v>
      </c>
    </row>
    <row r="17" spans="1:12" s="159" customFormat="1" ht="12.75" customHeight="1" x14ac:dyDescent="0.2">
      <c r="A17" s="155" t="s">
        <v>105</v>
      </c>
      <c r="B17" s="156">
        <v>9000</v>
      </c>
      <c r="C17" s="156"/>
      <c r="D17" s="156"/>
      <c r="E17" s="160"/>
      <c r="F17" s="157"/>
      <c r="G17" s="157"/>
      <c r="H17" s="157"/>
      <c r="I17" s="157"/>
      <c r="J17" s="157"/>
      <c r="K17" s="157"/>
      <c r="L17" s="158">
        <f t="shared" si="0"/>
        <v>9000</v>
      </c>
    </row>
    <row r="18" spans="1:12" s="159" customFormat="1" ht="12.75" customHeight="1" x14ac:dyDescent="0.2">
      <c r="A18" s="155" t="s">
        <v>104</v>
      </c>
      <c r="B18" s="156">
        <v>391.25</v>
      </c>
      <c r="C18" s="156"/>
      <c r="D18" s="156"/>
      <c r="E18" s="160"/>
      <c r="F18" s="157"/>
      <c r="G18" s="157"/>
      <c r="H18" s="157"/>
      <c r="I18" s="157"/>
      <c r="J18" s="157"/>
      <c r="K18" s="157"/>
      <c r="L18" s="158">
        <f t="shared" si="0"/>
        <v>391.25</v>
      </c>
    </row>
    <row r="19" spans="1:12" s="159" customFormat="1" ht="12.75" customHeight="1" x14ac:dyDescent="0.2">
      <c r="A19" s="155" t="s">
        <v>101</v>
      </c>
      <c r="B19" s="156">
        <v>7662.8</v>
      </c>
      <c r="C19" s="156"/>
      <c r="D19" s="156"/>
      <c r="E19" s="160"/>
      <c r="F19" s="157"/>
      <c r="G19" s="157"/>
      <c r="H19" s="157"/>
      <c r="I19" s="157"/>
      <c r="J19" s="157"/>
      <c r="K19" s="157"/>
      <c r="L19" s="158">
        <f t="shared" si="0"/>
        <v>7662.8</v>
      </c>
    </row>
    <row r="20" spans="1:12" s="159" customFormat="1" ht="12.75" customHeight="1" x14ac:dyDescent="0.2">
      <c r="A20" s="155" t="s">
        <v>106</v>
      </c>
      <c r="B20" s="156">
        <v>1440</v>
      </c>
      <c r="C20" s="156"/>
      <c r="D20" s="156"/>
      <c r="E20" s="160"/>
      <c r="F20" s="157"/>
      <c r="G20" s="157"/>
      <c r="H20" s="157"/>
      <c r="I20" s="157"/>
      <c r="J20" s="157"/>
      <c r="K20" s="157"/>
      <c r="L20" s="158">
        <f t="shared" si="0"/>
        <v>1440</v>
      </c>
    </row>
    <row r="21" spans="1:12" s="159" customFormat="1" ht="12.75" customHeight="1" x14ac:dyDescent="0.2">
      <c r="A21" s="155" t="s">
        <v>107</v>
      </c>
      <c r="B21" s="156">
        <v>360</v>
      </c>
      <c r="C21" s="156"/>
      <c r="D21" s="156"/>
      <c r="E21" s="160"/>
      <c r="F21" s="157"/>
      <c r="G21" s="157"/>
      <c r="H21" s="157"/>
      <c r="I21" s="157"/>
      <c r="J21" s="157"/>
      <c r="K21" s="157"/>
      <c r="L21" s="158">
        <f t="shared" si="0"/>
        <v>360</v>
      </c>
    </row>
    <row r="22" spans="1:12" s="159" customFormat="1" ht="12.75" customHeight="1" x14ac:dyDescent="0.2">
      <c r="A22" s="155" t="s">
        <v>108</v>
      </c>
      <c r="B22" s="156">
        <v>3176.31</v>
      </c>
      <c r="C22" s="156"/>
      <c r="D22" s="156"/>
      <c r="E22" s="160"/>
      <c r="F22" s="157"/>
      <c r="G22" s="157"/>
      <c r="H22" s="157"/>
      <c r="I22" s="157"/>
      <c r="J22" s="157"/>
      <c r="K22" s="157"/>
      <c r="L22" s="158">
        <f t="shared" si="0"/>
        <v>3176.31</v>
      </c>
    </row>
    <row r="23" spans="1:12" s="159" customFormat="1" ht="12.75" customHeight="1" x14ac:dyDescent="0.2">
      <c r="A23" s="155" t="s">
        <v>109</v>
      </c>
      <c r="B23" s="156">
        <v>4712.5600000000004</v>
      </c>
      <c r="C23" s="156"/>
      <c r="D23" s="156"/>
      <c r="E23" s="160"/>
      <c r="F23" s="157"/>
      <c r="G23" s="157"/>
      <c r="H23" s="157"/>
      <c r="I23" s="157"/>
      <c r="J23" s="157"/>
      <c r="K23" s="157"/>
      <c r="L23" s="158">
        <f t="shared" si="0"/>
        <v>4712.5600000000004</v>
      </c>
    </row>
    <row r="24" spans="1:12" s="159" customFormat="1" ht="12.75" customHeight="1" x14ac:dyDescent="0.2">
      <c r="A24" s="155" t="s">
        <v>116</v>
      </c>
      <c r="B24" s="156">
        <v>10760</v>
      </c>
      <c r="C24" s="156"/>
      <c r="D24" s="156"/>
      <c r="E24" s="160"/>
      <c r="F24" s="157"/>
      <c r="G24" s="157"/>
      <c r="H24" s="157"/>
      <c r="I24" s="157"/>
      <c r="J24" s="157"/>
      <c r="K24" s="157"/>
      <c r="L24" s="158">
        <f t="shared" si="0"/>
        <v>10760</v>
      </c>
    </row>
    <row r="25" spans="1:12" s="159" customFormat="1" ht="12.75" customHeight="1" x14ac:dyDescent="0.2">
      <c r="A25" s="155" t="s">
        <v>115</v>
      </c>
      <c r="B25" s="156">
        <v>2252</v>
      </c>
      <c r="C25" s="156"/>
      <c r="D25" s="156"/>
      <c r="E25" s="160"/>
      <c r="F25" s="157"/>
      <c r="G25" s="157"/>
      <c r="H25" s="157"/>
      <c r="I25" s="157"/>
      <c r="J25" s="157"/>
      <c r="K25" s="157"/>
      <c r="L25" s="158">
        <f t="shared" si="0"/>
        <v>2252</v>
      </c>
    </row>
    <row r="26" spans="1:12" s="159" customFormat="1" ht="12.75" customHeight="1" x14ac:dyDescent="0.2">
      <c r="A26" s="155" t="s">
        <v>114</v>
      </c>
      <c r="B26" s="156">
        <v>5997.7</v>
      </c>
      <c r="C26" s="156"/>
      <c r="D26" s="156"/>
      <c r="E26" s="160"/>
      <c r="F26" s="157"/>
      <c r="G26" s="157"/>
      <c r="H26" s="157"/>
      <c r="I26" s="157"/>
      <c r="J26" s="157"/>
      <c r="K26" s="157"/>
      <c r="L26" s="158">
        <f t="shared" si="0"/>
        <v>5997.7</v>
      </c>
    </row>
    <row r="27" spans="1:12" s="159" customFormat="1" ht="12.75" customHeight="1" x14ac:dyDescent="0.2">
      <c r="A27" s="155" t="s">
        <v>117</v>
      </c>
      <c r="B27" s="156"/>
      <c r="C27" s="156">
        <v>3216.57</v>
      </c>
      <c r="D27" s="156"/>
      <c r="E27" s="160"/>
      <c r="F27" s="157"/>
      <c r="G27" s="157"/>
      <c r="H27" s="157"/>
      <c r="I27" s="157"/>
      <c r="J27" s="157"/>
      <c r="K27" s="157"/>
      <c r="L27" s="158">
        <f t="shared" si="0"/>
        <v>3216.57</v>
      </c>
    </row>
    <row r="28" spans="1:12" s="159" customFormat="1" ht="12.75" customHeight="1" x14ac:dyDescent="0.2">
      <c r="A28" s="155" t="s">
        <v>123</v>
      </c>
      <c r="B28" s="156"/>
      <c r="C28" s="156">
        <v>1910.4</v>
      </c>
      <c r="D28" s="156"/>
      <c r="E28" s="160"/>
      <c r="F28" s="157"/>
      <c r="G28" s="157"/>
      <c r="H28" s="157"/>
      <c r="I28" s="157"/>
      <c r="J28" s="157"/>
      <c r="K28" s="157"/>
      <c r="L28" s="158">
        <f t="shared" si="0"/>
        <v>1910.4</v>
      </c>
    </row>
    <row r="29" spans="1:12" s="159" customFormat="1" ht="12.75" customHeight="1" x14ac:dyDescent="0.2">
      <c r="A29" s="155" t="s">
        <v>118</v>
      </c>
      <c r="B29" s="156"/>
      <c r="C29" s="156">
        <v>-10760</v>
      </c>
      <c r="D29" s="156"/>
      <c r="E29" s="160"/>
      <c r="F29" s="157"/>
      <c r="G29" s="157"/>
      <c r="H29" s="157"/>
      <c r="I29" s="157"/>
      <c r="J29" s="157"/>
      <c r="K29" s="157"/>
      <c r="L29" s="158">
        <f t="shared" si="0"/>
        <v>-10760</v>
      </c>
    </row>
    <row r="30" spans="1:12" s="159" customFormat="1" ht="12.75" customHeight="1" x14ac:dyDescent="0.2">
      <c r="A30" s="155" t="s">
        <v>119</v>
      </c>
      <c r="B30" s="156"/>
      <c r="C30" s="156">
        <v>-2252</v>
      </c>
      <c r="D30" s="156"/>
      <c r="E30" s="160"/>
      <c r="F30" s="157"/>
      <c r="G30" s="157"/>
      <c r="H30" s="157"/>
      <c r="I30" s="157"/>
      <c r="J30" s="157"/>
      <c r="K30" s="157"/>
      <c r="L30" s="158">
        <f t="shared" si="0"/>
        <v>-2252</v>
      </c>
    </row>
    <row r="31" spans="1:12" s="159" customFormat="1" ht="12.75" customHeight="1" x14ac:dyDescent="0.2">
      <c r="A31" s="155" t="s">
        <v>120</v>
      </c>
      <c r="B31" s="156"/>
      <c r="C31" s="156">
        <v>13840</v>
      </c>
      <c r="D31" s="156"/>
      <c r="E31" s="160"/>
      <c r="F31" s="157"/>
      <c r="G31" s="157"/>
      <c r="H31" s="157"/>
      <c r="I31" s="157"/>
      <c r="J31" s="157"/>
      <c r="K31" s="157"/>
      <c r="L31" s="158">
        <f t="shared" si="0"/>
        <v>13840</v>
      </c>
    </row>
    <row r="32" spans="1:12" s="159" customFormat="1" ht="12.75" customHeight="1" x14ac:dyDescent="0.2">
      <c r="A32" s="155" t="s">
        <v>121</v>
      </c>
      <c r="B32" s="156"/>
      <c r="C32" s="156">
        <v>5720</v>
      </c>
      <c r="D32" s="156"/>
      <c r="E32" s="160"/>
      <c r="F32" s="157"/>
      <c r="G32" s="157"/>
      <c r="H32" s="157"/>
      <c r="I32" s="157"/>
      <c r="J32" s="157"/>
      <c r="K32" s="157"/>
      <c r="L32" s="158">
        <f t="shared" si="0"/>
        <v>5720</v>
      </c>
    </row>
    <row r="33" spans="1:14" s="159" customFormat="1" ht="12.75" customHeight="1" x14ac:dyDescent="0.2">
      <c r="A33" s="155" t="s">
        <v>122</v>
      </c>
      <c r="B33" s="156"/>
      <c r="C33" s="156">
        <v>5000</v>
      </c>
      <c r="D33" s="156"/>
      <c r="E33" s="160"/>
      <c r="F33" s="157"/>
      <c r="G33" s="157"/>
      <c r="H33" s="157"/>
      <c r="I33" s="157"/>
      <c r="J33" s="157"/>
      <c r="K33" s="157"/>
      <c r="L33" s="158">
        <f t="shared" si="0"/>
        <v>5000</v>
      </c>
    </row>
    <row r="34" spans="1:14" s="159" customFormat="1" ht="12.75" customHeight="1" x14ac:dyDescent="0.2">
      <c r="A34" s="155" t="s">
        <v>221</v>
      </c>
      <c r="B34" s="156"/>
      <c r="C34" s="156">
        <v>4027.25</v>
      </c>
      <c r="D34" s="156"/>
      <c r="E34" s="160"/>
      <c r="F34" s="157"/>
      <c r="G34" s="157"/>
      <c r="H34" s="157"/>
      <c r="I34" s="157"/>
      <c r="J34" s="157"/>
      <c r="K34" s="157"/>
      <c r="L34" s="158">
        <f t="shared" si="0"/>
        <v>4027.25</v>
      </c>
    </row>
    <row r="35" spans="1:14" s="159" customFormat="1" ht="12.75" customHeight="1" x14ac:dyDescent="0.2">
      <c r="A35" s="155"/>
      <c r="B35" s="156"/>
      <c r="C35" s="156"/>
      <c r="D35" s="156"/>
      <c r="E35" s="160"/>
      <c r="F35" s="157"/>
      <c r="G35" s="157"/>
      <c r="H35" s="157"/>
      <c r="I35" s="157"/>
      <c r="J35" s="157"/>
      <c r="K35" s="157"/>
      <c r="L35" s="158">
        <f t="shared" si="0"/>
        <v>0</v>
      </c>
    </row>
    <row r="36" spans="1:14" s="159" customFormat="1" ht="12.75" customHeight="1" x14ac:dyDescent="0.2">
      <c r="A36" s="155"/>
      <c r="B36" s="156"/>
      <c r="C36" s="156"/>
      <c r="D36" s="156"/>
      <c r="E36" s="160"/>
      <c r="F36" s="157"/>
      <c r="G36" s="157"/>
      <c r="H36" s="157"/>
      <c r="I36" s="157"/>
      <c r="J36" s="157"/>
      <c r="K36" s="157"/>
      <c r="L36" s="158">
        <f t="shared" si="0"/>
        <v>0</v>
      </c>
    </row>
    <row r="37" spans="1:14" s="159" customFormat="1" ht="12.75" customHeight="1" x14ac:dyDescent="0.2">
      <c r="A37" s="155"/>
      <c r="B37" s="156"/>
      <c r="C37" s="156"/>
      <c r="D37" s="156"/>
      <c r="E37" s="160"/>
      <c r="F37" s="157"/>
      <c r="G37" s="157"/>
      <c r="H37" s="157"/>
      <c r="I37" s="157"/>
      <c r="J37" s="157"/>
      <c r="K37" s="157"/>
      <c r="L37" s="158">
        <f>+C37+SUM(D37:I37)</f>
        <v>0</v>
      </c>
    </row>
    <row r="38" spans="1:14" s="165" customFormat="1" ht="11.25" x14ac:dyDescent="0.2">
      <c r="A38" s="161" t="s">
        <v>69</v>
      </c>
      <c r="B38" s="162">
        <f t="shared" ref="B38:L38" si="1">SUM(B3:B37)</f>
        <v>141952.29</v>
      </c>
      <c r="C38" s="162">
        <f t="shared" si="1"/>
        <v>20702.22</v>
      </c>
      <c r="D38" s="162">
        <f t="shared" si="1"/>
        <v>0</v>
      </c>
      <c r="E38" s="162">
        <f t="shared" si="1"/>
        <v>0</v>
      </c>
      <c r="F38" s="162">
        <f t="shared" si="1"/>
        <v>0</v>
      </c>
      <c r="G38" s="162">
        <f t="shared" si="1"/>
        <v>0</v>
      </c>
      <c r="H38" s="163">
        <f t="shared" si="1"/>
        <v>0</v>
      </c>
      <c r="I38" s="163">
        <f t="shared" si="1"/>
        <v>0</v>
      </c>
      <c r="J38" s="163">
        <f t="shared" si="1"/>
        <v>0</v>
      </c>
      <c r="K38" s="163">
        <f t="shared" si="1"/>
        <v>0</v>
      </c>
      <c r="L38" s="164">
        <f t="shared" si="1"/>
        <v>162654.51</v>
      </c>
    </row>
    <row r="39" spans="1:14" s="159" customFormat="1" ht="12.75" customHeight="1" x14ac:dyDescent="0.2">
      <c r="A39" s="155" t="s">
        <v>110</v>
      </c>
      <c r="B39" s="156">
        <v>900</v>
      </c>
      <c r="C39" s="156"/>
      <c r="D39" s="156"/>
      <c r="E39" s="160"/>
      <c r="F39" s="157"/>
      <c r="G39" s="157"/>
      <c r="H39" s="157"/>
      <c r="I39" s="157"/>
      <c r="J39" s="157"/>
      <c r="K39" s="157"/>
      <c r="L39" s="158">
        <f t="shared" ref="L39:L78" si="2">SUM(B39:K39)</f>
        <v>900</v>
      </c>
    </row>
    <row r="40" spans="1:14" s="159" customFormat="1" ht="12.75" customHeight="1" x14ac:dyDescent="0.2">
      <c r="A40" s="155" t="s">
        <v>111</v>
      </c>
      <c r="B40" s="156">
        <v>425.42</v>
      </c>
      <c r="C40" s="156"/>
      <c r="D40" s="156"/>
      <c r="E40" s="160"/>
      <c r="F40" s="157"/>
      <c r="G40" s="157"/>
      <c r="H40" s="157"/>
      <c r="I40" s="157"/>
      <c r="J40" s="157"/>
      <c r="K40" s="157"/>
      <c r="L40" s="158">
        <f t="shared" si="2"/>
        <v>425.42</v>
      </c>
    </row>
    <row r="41" spans="1:14" s="159" customFormat="1" ht="12.75" customHeight="1" x14ac:dyDescent="0.2">
      <c r="A41" s="155" t="s">
        <v>112</v>
      </c>
      <c r="B41" s="156">
        <v>356.55</v>
      </c>
      <c r="C41" s="156"/>
      <c r="D41" s="156"/>
      <c r="E41" s="160"/>
      <c r="F41" s="157"/>
      <c r="G41" s="157"/>
      <c r="H41" s="157"/>
      <c r="I41" s="157"/>
      <c r="J41" s="157"/>
      <c r="K41" s="157"/>
      <c r="L41" s="158">
        <f t="shared" si="2"/>
        <v>356.55</v>
      </c>
    </row>
    <row r="42" spans="1:14" s="159" customFormat="1" ht="12.75" customHeight="1" x14ac:dyDescent="0.2">
      <c r="A42" s="155" t="s">
        <v>113</v>
      </c>
      <c r="B42" s="156">
        <v>1305.5999999999999</v>
      </c>
      <c r="C42" s="156"/>
      <c r="D42" s="156"/>
      <c r="E42" s="160"/>
      <c r="F42" s="157"/>
      <c r="G42" s="157"/>
      <c r="H42" s="157"/>
      <c r="I42" s="157"/>
      <c r="J42" s="157"/>
      <c r="K42" s="157"/>
      <c r="L42" s="158">
        <f t="shared" si="2"/>
        <v>1305.5999999999999</v>
      </c>
    </row>
    <row r="43" spans="1:14" s="159" customFormat="1" ht="12.75" customHeight="1" x14ac:dyDescent="0.2">
      <c r="A43" s="155" t="s">
        <v>124</v>
      </c>
      <c r="B43" s="156"/>
      <c r="C43" s="156">
        <v>3112.09</v>
      </c>
      <c r="D43" s="156"/>
      <c r="E43" s="160"/>
      <c r="F43" s="157"/>
      <c r="G43" s="157"/>
      <c r="H43" s="157"/>
      <c r="I43" s="157"/>
      <c r="J43" s="157"/>
      <c r="K43" s="157"/>
      <c r="L43" s="158">
        <f t="shared" si="2"/>
        <v>3112.09</v>
      </c>
    </row>
    <row r="44" spans="1:14" s="159" customFormat="1" ht="12.75" customHeight="1" x14ac:dyDescent="0.2">
      <c r="A44" s="155" t="s">
        <v>125</v>
      </c>
      <c r="B44" s="156"/>
      <c r="C44" s="156">
        <v>245.91</v>
      </c>
      <c r="D44" s="156"/>
      <c r="E44" s="160"/>
      <c r="F44" s="157"/>
      <c r="G44" s="157"/>
      <c r="H44" s="157"/>
      <c r="I44" s="157"/>
      <c r="J44" s="157"/>
      <c r="K44" s="157"/>
      <c r="L44" s="158">
        <f t="shared" si="2"/>
        <v>245.91</v>
      </c>
    </row>
    <row r="45" spans="1:14" s="159" customFormat="1" ht="12.75" customHeight="1" x14ac:dyDescent="0.2">
      <c r="A45" s="155" t="s">
        <v>126</v>
      </c>
      <c r="B45" s="156"/>
      <c r="C45" s="156">
        <v>1220</v>
      </c>
      <c r="D45" s="156"/>
      <c r="E45" s="160"/>
      <c r="F45" s="157"/>
      <c r="G45" s="157"/>
      <c r="H45" s="157"/>
      <c r="I45" s="157"/>
      <c r="J45" s="157"/>
      <c r="K45" s="157"/>
      <c r="L45" s="158">
        <f t="shared" si="2"/>
        <v>1220</v>
      </c>
    </row>
    <row r="46" spans="1:14" s="159" customFormat="1" ht="12.75" customHeight="1" x14ac:dyDescent="0.2">
      <c r="A46" s="155" t="s">
        <v>221</v>
      </c>
      <c r="B46" s="156"/>
      <c r="C46" s="156">
        <v>298.37</v>
      </c>
      <c r="D46" s="156"/>
      <c r="E46" s="160"/>
      <c r="F46" s="157"/>
      <c r="G46" s="157"/>
      <c r="H46" s="157"/>
      <c r="I46" s="157"/>
      <c r="J46" s="157"/>
      <c r="K46" s="157"/>
      <c r="L46" s="158">
        <f t="shared" si="2"/>
        <v>298.37</v>
      </c>
      <c r="N46" s="166"/>
    </row>
    <row r="47" spans="1:14" s="159" customFormat="1" ht="12.75" customHeight="1" x14ac:dyDescent="0.2">
      <c r="A47" s="155" t="s">
        <v>127</v>
      </c>
      <c r="B47" s="156"/>
      <c r="C47" s="156"/>
      <c r="D47" s="255">
        <v>1878.8</v>
      </c>
      <c r="E47" s="160"/>
      <c r="F47" s="157"/>
      <c r="G47" s="157"/>
      <c r="H47" s="157"/>
      <c r="I47" s="157"/>
      <c r="J47" s="157"/>
      <c r="K47" s="157"/>
      <c r="L47" s="158">
        <f t="shared" si="2"/>
        <v>1878.8</v>
      </c>
    </row>
    <row r="48" spans="1:14" s="159" customFormat="1" ht="12.75" customHeight="1" x14ac:dyDescent="0.2">
      <c r="A48" s="155" t="s">
        <v>128</v>
      </c>
      <c r="B48" s="156"/>
      <c r="C48" s="156"/>
      <c r="D48" s="255">
        <v>1878.8</v>
      </c>
      <c r="E48" s="160"/>
      <c r="F48" s="157"/>
      <c r="G48" s="157"/>
      <c r="H48" s="157"/>
      <c r="I48" s="157"/>
      <c r="J48" s="157"/>
      <c r="K48" s="157"/>
      <c r="L48" s="158">
        <f t="shared" si="2"/>
        <v>1878.8</v>
      </c>
    </row>
    <row r="49" spans="1:14" s="159" customFormat="1" ht="12.75" customHeight="1" x14ac:dyDescent="0.2">
      <c r="A49" s="155" t="s">
        <v>129</v>
      </c>
      <c r="B49" s="156"/>
      <c r="C49" s="156"/>
      <c r="D49" s="255">
        <v>1878.8</v>
      </c>
      <c r="E49" s="160"/>
      <c r="F49" s="157"/>
      <c r="G49" s="157"/>
      <c r="H49" s="157"/>
      <c r="I49" s="157"/>
      <c r="J49" s="157"/>
      <c r="K49" s="157"/>
      <c r="L49" s="158">
        <f t="shared" si="2"/>
        <v>1878.8</v>
      </c>
    </row>
    <row r="50" spans="1:14" s="159" customFormat="1" ht="12.75" customHeight="1" x14ac:dyDescent="0.2">
      <c r="A50" s="155" t="s">
        <v>130</v>
      </c>
      <c r="B50" s="156"/>
      <c r="C50" s="156"/>
      <c r="D50" s="255">
        <v>2818.2</v>
      </c>
      <c r="E50" s="160"/>
      <c r="F50" s="157"/>
      <c r="G50" s="157"/>
      <c r="H50" s="157"/>
      <c r="I50" s="157"/>
      <c r="J50" s="157"/>
      <c r="K50" s="157"/>
      <c r="L50" s="158">
        <f t="shared" si="2"/>
        <v>2818.2</v>
      </c>
    </row>
    <row r="51" spans="1:14" s="159" customFormat="1" ht="12.75" customHeight="1" x14ac:dyDescent="0.2">
      <c r="A51" s="155" t="s">
        <v>131</v>
      </c>
      <c r="B51" s="156"/>
      <c r="C51" s="156"/>
      <c r="D51" s="255">
        <v>2818.2</v>
      </c>
      <c r="E51" s="160"/>
      <c r="F51" s="157"/>
      <c r="G51" s="157"/>
      <c r="H51" s="157"/>
      <c r="I51" s="157"/>
      <c r="J51" s="157"/>
      <c r="K51" s="157"/>
      <c r="L51" s="158">
        <f t="shared" si="2"/>
        <v>2818.2</v>
      </c>
    </row>
    <row r="52" spans="1:14" s="159" customFormat="1" ht="12.75" customHeight="1" x14ac:dyDescent="0.2">
      <c r="A52" s="155" t="s">
        <v>132</v>
      </c>
      <c r="B52" s="156"/>
      <c r="C52" s="156"/>
      <c r="D52" s="255">
        <v>816.27</v>
      </c>
      <c r="E52" s="160"/>
      <c r="F52" s="157"/>
      <c r="G52" s="157"/>
      <c r="H52" s="157"/>
      <c r="I52" s="157"/>
      <c r="J52" s="157"/>
      <c r="K52" s="157"/>
      <c r="L52" s="158">
        <f t="shared" si="2"/>
        <v>816.27</v>
      </c>
    </row>
    <row r="53" spans="1:14" s="159" customFormat="1" ht="12.75" customHeight="1" x14ac:dyDescent="0.2">
      <c r="A53" s="155" t="s">
        <v>136</v>
      </c>
      <c r="B53" s="156"/>
      <c r="C53" s="156"/>
      <c r="D53" s="255">
        <v>2116.5</v>
      </c>
      <c r="E53" s="160"/>
      <c r="F53" s="157"/>
      <c r="G53" s="157"/>
      <c r="H53" s="157"/>
      <c r="I53" s="157"/>
      <c r="J53" s="157"/>
      <c r="K53" s="157"/>
      <c r="L53" s="158">
        <f t="shared" si="2"/>
        <v>2116.5</v>
      </c>
    </row>
    <row r="54" spans="1:14" s="159" customFormat="1" ht="12.75" customHeight="1" x14ac:dyDescent="0.2">
      <c r="A54" s="155" t="s">
        <v>134</v>
      </c>
      <c r="B54" s="156"/>
      <c r="C54" s="156"/>
      <c r="D54" s="255">
        <v>646</v>
      </c>
      <c r="E54" s="160"/>
      <c r="F54" s="157"/>
      <c r="G54" s="157"/>
      <c r="H54" s="157"/>
      <c r="I54" s="157"/>
      <c r="J54" s="157"/>
      <c r="K54" s="157"/>
      <c r="L54" s="158">
        <f t="shared" si="2"/>
        <v>646</v>
      </c>
    </row>
    <row r="55" spans="1:14" s="159" customFormat="1" ht="12.75" customHeight="1" x14ac:dyDescent="0.2">
      <c r="A55" s="155" t="s">
        <v>135</v>
      </c>
      <c r="B55" s="156"/>
      <c r="C55" s="156"/>
      <c r="D55" s="255">
        <v>4526.2</v>
      </c>
      <c r="E55" s="160"/>
      <c r="F55" s="157"/>
      <c r="G55" s="157"/>
      <c r="H55" s="157"/>
      <c r="I55" s="157"/>
      <c r="J55" s="157"/>
      <c r="K55" s="157"/>
      <c r="L55" s="158">
        <f t="shared" si="2"/>
        <v>4526.2</v>
      </c>
    </row>
    <row r="56" spans="1:14" s="159" customFormat="1" ht="12.75" customHeight="1" x14ac:dyDescent="0.2">
      <c r="A56" s="155" t="s">
        <v>133</v>
      </c>
      <c r="B56" s="156"/>
      <c r="C56" s="156"/>
      <c r="D56" s="255">
        <v>1098</v>
      </c>
      <c r="E56" s="160"/>
      <c r="F56" s="157"/>
      <c r="G56" s="157"/>
      <c r="H56" s="157"/>
      <c r="I56" s="157"/>
      <c r="J56" s="157"/>
      <c r="K56" s="157"/>
      <c r="L56" s="158">
        <f t="shared" si="2"/>
        <v>1098</v>
      </c>
    </row>
    <row r="57" spans="1:14" s="159" customFormat="1" ht="12.75" customHeight="1" x14ac:dyDescent="0.2">
      <c r="A57" s="155" t="s">
        <v>137</v>
      </c>
      <c r="B57" s="156"/>
      <c r="C57" s="156"/>
      <c r="D57" s="255">
        <v>610</v>
      </c>
      <c r="E57" s="160"/>
      <c r="F57" s="157"/>
      <c r="G57" s="157"/>
      <c r="H57" s="157"/>
      <c r="I57" s="157"/>
      <c r="J57" s="157"/>
      <c r="K57" s="157"/>
      <c r="L57" s="158">
        <f t="shared" si="2"/>
        <v>610</v>
      </c>
    </row>
    <row r="58" spans="1:14" s="159" customFormat="1" ht="12.75" customHeight="1" x14ac:dyDescent="0.2">
      <c r="A58" s="155" t="s">
        <v>138</v>
      </c>
      <c r="B58" s="156"/>
      <c r="C58" s="156"/>
      <c r="D58" s="255">
        <v>1276.5</v>
      </c>
      <c r="E58" s="160"/>
      <c r="F58" s="157"/>
      <c r="G58" s="157"/>
      <c r="H58" s="157"/>
      <c r="I58" s="157"/>
      <c r="J58" s="157"/>
      <c r="K58" s="157"/>
      <c r="L58" s="158">
        <f t="shared" si="2"/>
        <v>1276.5</v>
      </c>
    </row>
    <row r="59" spans="1:14" s="159" customFormat="1" ht="12.75" customHeight="1" x14ac:dyDescent="0.2">
      <c r="A59" s="155" t="s">
        <v>139</v>
      </c>
      <c r="B59" s="156"/>
      <c r="C59" s="156"/>
      <c r="D59" s="255">
        <v>2978.5</v>
      </c>
      <c r="E59" s="160"/>
      <c r="F59" s="157"/>
      <c r="G59" s="157"/>
      <c r="H59" s="157"/>
      <c r="I59" s="157"/>
      <c r="J59" s="157"/>
      <c r="K59" s="157"/>
      <c r="L59" s="158">
        <f t="shared" si="2"/>
        <v>2978.5</v>
      </c>
    </row>
    <row r="60" spans="1:14" s="159" customFormat="1" ht="12.75" customHeight="1" x14ac:dyDescent="0.2">
      <c r="A60" s="155" t="s">
        <v>140</v>
      </c>
      <c r="B60" s="156"/>
      <c r="C60" s="156"/>
      <c r="D60" s="255">
        <v>5632.71</v>
      </c>
      <c r="E60" s="160"/>
      <c r="F60" s="157"/>
      <c r="G60" s="157"/>
      <c r="H60" s="157"/>
      <c r="I60" s="157"/>
      <c r="J60" s="157"/>
      <c r="K60" s="157"/>
      <c r="L60" s="158">
        <f t="shared" si="2"/>
        <v>5632.71</v>
      </c>
    </row>
    <row r="61" spans="1:14" s="159" customFormat="1" ht="12.75" customHeight="1" x14ac:dyDescent="0.2">
      <c r="A61" s="155" t="s">
        <v>141</v>
      </c>
      <c r="B61" s="156"/>
      <c r="C61" s="156"/>
      <c r="D61" s="255">
        <v>488</v>
      </c>
      <c r="E61" s="160"/>
      <c r="F61" s="157"/>
      <c r="G61" s="157"/>
      <c r="H61" s="157"/>
      <c r="I61" s="157"/>
      <c r="J61" s="157"/>
      <c r="K61" s="157"/>
      <c r="L61" s="158">
        <f t="shared" si="2"/>
        <v>488</v>
      </c>
    </row>
    <row r="62" spans="1:14" s="159" customFormat="1" ht="12.75" customHeight="1" x14ac:dyDescent="0.2">
      <c r="A62" s="155" t="s">
        <v>205</v>
      </c>
      <c r="B62" s="156"/>
      <c r="C62" s="156"/>
      <c r="D62" s="156">
        <v>1789.74</v>
      </c>
      <c r="E62" s="160"/>
      <c r="F62" s="157"/>
      <c r="G62" s="157"/>
      <c r="H62" s="157"/>
      <c r="I62" s="157"/>
      <c r="J62" s="157"/>
      <c r="K62" s="157"/>
      <c r="L62" s="158">
        <f t="shared" si="2"/>
        <v>1789.74</v>
      </c>
      <c r="N62" s="166"/>
    </row>
    <row r="63" spans="1:14" s="159" customFormat="1" ht="12.75" customHeight="1" x14ac:dyDescent="0.2">
      <c r="A63" s="155" t="s">
        <v>207</v>
      </c>
      <c r="B63" s="156"/>
      <c r="C63" s="156"/>
      <c r="D63" s="156">
        <v>1830</v>
      </c>
      <c r="E63" s="160"/>
      <c r="F63" s="157"/>
      <c r="G63" s="157"/>
      <c r="H63" s="157"/>
      <c r="I63" s="157"/>
      <c r="J63" s="157"/>
      <c r="K63" s="157"/>
      <c r="L63" s="158">
        <f t="shared" si="2"/>
        <v>1830</v>
      </c>
      <c r="N63" s="166"/>
    </row>
    <row r="64" spans="1:14" s="159" customFormat="1" ht="12.75" customHeight="1" x14ac:dyDescent="0.2">
      <c r="A64" s="155" t="s">
        <v>208</v>
      </c>
      <c r="B64" s="156"/>
      <c r="C64" s="156"/>
      <c r="D64" s="156">
        <v>1220</v>
      </c>
      <c r="E64" s="160"/>
      <c r="F64" s="157"/>
      <c r="G64" s="157"/>
      <c r="H64" s="157"/>
      <c r="I64" s="157"/>
      <c r="J64" s="157"/>
      <c r="K64" s="157"/>
      <c r="L64" s="158">
        <f t="shared" si="2"/>
        <v>1220</v>
      </c>
      <c r="N64" s="166"/>
    </row>
    <row r="65" spans="1:14" s="159" customFormat="1" ht="12.75" customHeight="1" x14ac:dyDescent="0.2">
      <c r="A65" s="155" t="s">
        <v>206</v>
      </c>
      <c r="B65" s="156"/>
      <c r="C65" s="156"/>
      <c r="D65" s="156">
        <v>17727.09</v>
      </c>
      <c r="E65" s="160"/>
      <c r="F65" s="157"/>
      <c r="G65" s="157"/>
      <c r="H65" s="157"/>
      <c r="I65" s="157"/>
      <c r="J65" s="157"/>
      <c r="K65" s="157"/>
      <c r="L65" s="158">
        <f t="shared" si="2"/>
        <v>17727.09</v>
      </c>
      <c r="N65" s="166"/>
    </row>
    <row r="66" spans="1:14" s="159" customFormat="1" ht="12.75" customHeight="1" x14ac:dyDescent="0.2">
      <c r="A66" s="155" t="s">
        <v>204</v>
      </c>
      <c r="B66" s="156"/>
      <c r="C66" s="156"/>
      <c r="D66" s="156">
        <v>273.64999999999998</v>
      </c>
      <c r="E66" s="160"/>
      <c r="F66" s="157"/>
      <c r="G66" s="157"/>
      <c r="H66" s="157"/>
      <c r="I66" s="157"/>
      <c r="J66" s="157"/>
      <c r="K66" s="157"/>
      <c r="L66" s="158">
        <f t="shared" si="2"/>
        <v>273.64999999999998</v>
      </c>
      <c r="N66" s="166"/>
    </row>
    <row r="67" spans="1:14" s="159" customFormat="1" ht="12.75" customHeight="1" x14ac:dyDescent="0.2">
      <c r="A67" s="155" t="s">
        <v>223</v>
      </c>
      <c r="B67" s="156"/>
      <c r="C67" s="156"/>
      <c r="D67" s="156">
        <v>-12</v>
      </c>
      <c r="E67" s="160"/>
      <c r="F67" s="157"/>
      <c r="G67" s="157"/>
      <c r="H67" s="157"/>
      <c r="I67" s="157"/>
      <c r="J67" s="157"/>
      <c r="K67" s="157"/>
      <c r="L67" s="158">
        <f t="shared" ref="L67" si="3">SUM(B67:K67)</f>
        <v>-12</v>
      </c>
      <c r="N67" s="166"/>
    </row>
    <row r="68" spans="1:14" s="159" customFormat="1" ht="12.75" customHeight="1" x14ac:dyDescent="0.2">
      <c r="A68" s="155" t="s">
        <v>211</v>
      </c>
      <c r="B68" s="156"/>
      <c r="C68" s="156"/>
      <c r="D68" s="156"/>
      <c r="E68" s="160">
        <v>602</v>
      </c>
      <c r="F68" s="157"/>
      <c r="G68" s="157"/>
      <c r="H68" s="157"/>
      <c r="I68" s="157"/>
      <c r="J68" s="157"/>
      <c r="K68" s="157"/>
      <c r="L68" s="158">
        <f t="shared" si="2"/>
        <v>602</v>
      </c>
      <c r="N68" s="166"/>
    </row>
    <row r="69" spans="1:14" s="159" customFormat="1" ht="12.75" customHeight="1" x14ac:dyDescent="0.2">
      <c r="A69" s="155" t="s">
        <v>212</v>
      </c>
      <c r="B69" s="156"/>
      <c r="C69" s="156"/>
      <c r="D69" s="156"/>
      <c r="E69" s="160">
        <v>3652.68</v>
      </c>
      <c r="F69" s="157"/>
      <c r="G69" s="157"/>
      <c r="H69" s="157"/>
      <c r="I69" s="157"/>
      <c r="J69" s="157"/>
      <c r="K69" s="157"/>
      <c r="L69" s="158">
        <f t="shared" si="2"/>
        <v>3652.68</v>
      </c>
      <c r="N69" s="166"/>
    </row>
    <row r="70" spans="1:14" s="159" customFormat="1" ht="12.75" customHeight="1" x14ac:dyDescent="0.2">
      <c r="A70" s="155" t="s">
        <v>213</v>
      </c>
      <c r="B70" s="156"/>
      <c r="C70" s="156"/>
      <c r="D70" s="156"/>
      <c r="E70" s="160">
        <v>2402.79</v>
      </c>
      <c r="F70" s="157"/>
      <c r="G70" s="157"/>
      <c r="H70" s="157"/>
      <c r="I70" s="157"/>
      <c r="J70" s="157"/>
      <c r="K70" s="157"/>
      <c r="L70" s="158">
        <f t="shared" si="2"/>
        <v>2402.79</v>
      </c>
      <c r="N70" s="166"/>
    </row>
    <row r="71" spans="1:14" s="159" customFormat="1" ht="12.75" customHeight="1" x14ac:dyDescent="0.2">
      <c r="A71" s="155" t="s">
        <v>214</v>
      </c>
      <c r="B71" s="156"/>
      <c r="C71" s="156"/>
      <c r="D71" s="156"/>
      <c r="E71" s="160">
        <v>3220.8</v>
      </c>
      <c r="F71" s="157"/>
      <c r="G71" s="157"/>
      <c r="H71" s="157"/>
      <c r="I71" s="157"/>
      <c r="J71" s="157"/>
      <c r="K71" s="157"/>
      <c r="L71" s="158">
        <f t="shared" si="2"/>
        <v>3220.8</v>
      </c>
      <c r="N71" s="166"/>
    </row>
    <row r="72" spans="1:14" s="159" customFormat="1" ht="12.75" customHeight="1" x14ac:dyDescent="0.2">
      <c r="A72" s="155" t="s">
        <v>215</v>
      </c>
      <c r="B72" s="156"/>
      <c r="C72" s="156"/>
      <c r="D72" s="156"/>
      <c r="E72" s="160">
        <v>7795.8</v>
      </c>
      <c r="F72" s="157"/>
      <c r="G72" s="157"/>
      <c r="H72" s="157"/>
      <c r="I72" s="157"/>
      <c r="J72" s="157"/>
      <c r="K72" s="157"/>
      <c r="L72" s="158">
        <f t="shared" si="2"/>
        <v>7795.8</v>
      </c>
      <c r="N72" s="166"/>
    </row>
    <row r="73" spans="1:14" s="159" customFormat="1" ht="12.75" customHeight="1" x14ac:dyDescent="0.2">
      <c r="A73" s="155" t="s">
        <v>216</v>
      </c>
      <c r="B73" s="156"/>
      <c r="C73" s="156"/>
      <c r="D73" s="156"/>
      <c r="E73" s="160">
        <v>729.56</v>
      </c>
      <c r="F73" s="157"/>
      <c r="G73" s="157"/>
      <c r="H73" s="157"/>
      <c r="I73" s="157"/>
      <c r="J73" s="157"/>
      <c r="K73" s="157"/>
      <c r="L73" s="158">
        <f t="shared" si="2"/>
        <v>729.56</v>
      </c>
      <c r="N73" s="166"/>
    </row>
    <row r="74" spans="1:14" s="159" customFormat="1" ht="12.75" customHeight="1" x14ac:dyDescent="0.2">
      <c r="A74" s="155" t="s">
        <v>224</v>
      </c>
      <c r="B74" s="156"/>
      <c r="C74" s="156"/>
      <c r="D74" s="156"/>
      <c r="E74" s="160">
        <v>474.58</v>
      </c>
      <c r="F74" s="157"/>
      <c r="G74" s="157"/>
      <c r="H74" s="157"/>
      <c r="I74" s="157"/>
      <c r="J74" s="157"/>
      <c r="K74" s="157"/>
      <c r="L74" s="158">
        <f t="shared" si="2"/>
        <v>474.58</v>
      </c>
      <c r="N74" s="166"/>
    </row>
    <row r="75" spans="1:14" s="159" customFormat="1" ht="12.75" customHeight="1" x14ac:dyDescent="0.2">
      <c r="A75" s="155" t="s">
        <v>225</v>
      </c>
      <c r="B75" s="156"/>
      <c r="C75" s="156"/>
      <c r="D75" s="156"/>
      <c r="E75" s="160">
        <v>680.2</v>
      </c>
      <c r="F75" s="157"/>
      <c r="G75" s="157"/>
      <c r="H75" s="157"/>
      <c r="I75" s="157"/>
      <c r="J75" s="157"/>
      <c r="K75" s="157"/>
      <c r="L75" s="158">
        <f t="shared" si="2"/>
        <v>680.2</v>
      </c>
      <c r="N75" s="166"/>
    </row>
    <row r="76" spans="1:14" s="159" customFormat="1" ht="12.75" customHeight="1" x14ac:dyDescent="0.2">
      <c r="A76" s="155" t="s">
        <v>226</v>
      </c>
      <c r="B76" s="156"/>
      <c r="C76" s="156"/>
      <c r="D76" s="156"/>
      <c r="E76" s="160"/>
      <c r="F76" s="157">
        <v>5000</v>
      </c>
      <c r="G76" s="157">
        <v>5000</v>
      </c>
      <c r="H76" s="157">
        <v>5000</v>
      </c>
      <c r="I76" s="157"/>
      <c r="J76" s="157"/>
      <c r="K76" s="157"/>
      <c r="L76" s="158">
        <f t="shared" si="2"/>
        <v>15000</v>
      </c>
      <c r="N76" s="166"/>
    </row>
    <row r="77" spans="1:14" s="159" customFormat="1" ht="12.75" customHeight="1" x14ac:dyDescent="0.2">
      <c r="A77" s="155"/>
      <c r="B77" s="156"/>
      <c r="C77" s="156"/>
      <c r="D77" s="156"/>
      <c r="E77" s="160"/>
      <c r="F77" s="157"/>
      <c r="G77" s="157"/>
      <c r="H77" s="157"/>
      <c r="I77" s="157"/>
      <c r="J77" s="157"/>
      <c r="K77" s="157"/>
      <c r="L77" s="158">
        <f t="shared" si="2"/>
        <v>0</v>
      </c>
      <c r="N77" s="166"/>
    </row>
    <row r="78" spans="1:14" s="159" customFormat="1" ht="12.75" customHeight="1" x14ac:dyDescent="0.2">
      <c r="A78" s="155"/>
      <c r="B78" s="156"/>
      <c r="C78" s="156"/>
      <c r="D78" s="156"/>
      <c r="E78" s="160"/>
      <c r="F78" s="157"/>
      <c r="G78" s="157"/>
      <c r="H78" s="157"/>
      <c r="I78" s="157"/>
      <c r="J78" s="157"/>
      <c r="K78" s="157"/>
      <c r="L78" s="158">
        <f t="shared" si="2"/>
        <v>0</v>
      </c>
    </row>
    <row r="79" spans="1:14" s="159" customFormat="1" ht="12.75" customHeight="1" x14ac:dyDescent="0.2">
      <c r="A79" s="155"/>
      <c r="B79" s="156"/>
      <c r="C79" s="156"/>
      <c r="D79" s="156"/>
      <c r="E79" s="160"/>
      <c r="F79" s="157"/>
      <c r="G79" s="157"/>
      <c r="H79" s="157"/>
      <c r="I79" s="157"/>
      <c r="J79" s="157"/>
      <c r="K79" s="157"/>
      <c r="L79" s="158">
        <f>SUM(B79:K79)</f>
        <v>0</v>
      </c>
    </row>
    <row r="80" spans="1:14" s="165" customFormat="1" ht="11.25" x14ac:dyDescent="0.2">
      <c r="A80" s="161" t="s">
        <v>25</v>
      </c>
      <c r="B80" s="162">
        <f t="shared" ref="B80:L80" si="4">SUM(B39:B79)</f>
        <v>2987.5699999999997</v>
      </c>
      <c r="C80" s="162">
        <f t="shared" si="4"/>
        <v>4876.37</v>
      </c>
      <c r="D80" s="162">
        <f t="shared" si="4"/>
        <v>54289.96</v>
      </c>
      <c r="E80" s="162">
        <f t="shared" si="4"/>
        <v>19558.410000000003</v>
      </c>
      <c r="F80" s="162">
        <f t="shared" si="4"/>
        <v>5000</v>
      </c>
      <c r="G80" s="162">
        <f t="shared" si="4"/>
        <v>5000</v>
      </c>
      <c r="H80" s="163">
        <f t="shared" si="4"/>
        <v>5000</v>
      </c>
      <c r="I80" s="163">
        <f t="shared" si="4"/>
        <v>0</v>
      </c>
      <c r="J80" s="163">
        <f t="shared" si="4"/>
        <v>0</v>
      </c>
      <c r="K80" s="163">
        <f t="shared" si="4"/>
        <v>0</v>
      </c>
      <c r="L80" s="164">
        <f t="shared" si="4"/>
        <v>96712.31</v>
      </c>
    </row>
    <row r="81" spans="1:14" s="159" customFormat="1" ht="12.75" customHeight="1" x14ac:dyDescent="0.2">
      <c r="A81" s="155"/>
      <c r="B81" s="156"/>
      <c r="C81" s="156"/>
      <c r="D81" s="156"/>
      <c r="E81" s="160"/>
      <c r="F81" s="157"/>
      <c r="G81" s="157"/>
      <c r="H81" s="157"/>
      <c r="I81" s="157"/>
      <c r="J81" s="157"/>
      <c r="K81" s="157"/>
      <c r="L81" s="158">
        <f t="shared" ref="L81:L82" si="5">SUM(B81:K81)</f>
        <v>0</v>
      </c>
    </row>
    <row r="82" spans="1:14" s="159" customFormat="1" ht="12.75" customHeight="1" x14ac:dyDescent="0.2">
      <c r="A82" s="155"/>
      <c r="B82" s="156"/>
      <c r="C82" s="156"/>
      <c r="D82" s="156"/>
      <c r="E82" s="160"/>
      <c r="F82" s="157"/>
      <c r="G82" s="157"/>
      <c r="H82" s="157"/>
      <c r="I82" s="157"/>
      <c r="J82" s="157"/>
      <c r="K82" s="157"/>
      <c r="L82" s="158">
        <f t="shared" si="5"/>
        <v>0</v>
      </c>
    </row>
    <row r="83" spans="1:14" s="165" customFormat="1" ht="11.25" x14ac:dyDescent="0.2">
      <c r="A83" s="161" t="s">
        <v>46</v>
      </c>
      <c r="B83" s="162">
        <f t="shared" ref="B83:L83" si="6">SUM(B81:B82)</f>
        <v>0</v>
      </c>
      <c r="C83" s="162">
        <f>+C85</f>
        <v>-50</v>
      </c>
      <c r="D83" s="162">
        <f t="shared" si="6"/>
        <v>0</v>
      </c>
      <c r="E83" s="162">
        <f t="shared" si="6"/>
        <v>0</v>
      </c>
      <c r="F83" s="162">
        <f t="shared" si="6"/>
        <v>0</v>
      </c>
      <c r="G83" s="162">
        <f t="shared" si="6"/>
        <v>0</v>
      </c>
      <c r="H83" s="163">
        <f t="shared" si="6"/>
        <v>0</v>
      </c>
      <c r="I83" s="163">
        <f t="shared" si="6"/>
        <v>0</v>
      </c>
      <c r="J83" s="163">
        <f t="shared" si="6"/>
        <v>0</v>
      </c>
      <c r="K83" s="163">
        <f t="shared" si="6"/>
        <v>0</v>
      </c>
      <c r="L83" s="164">
        <f t="shared" si="6"/>
        <v>0</v>
      </c>
    </row>
    <row r="84" spans="1:14" s="170" customFormat="1" ht="5.0999999999999996" customHeight="1" x14ac:dyDescent="0.2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9"/>
    </row>
    <row r="85" spans="1:14" s="170" customFormat="1" ht="11.1" customHeight="1" x14ac:dyDescent="0.2">
      <c r="A85" s="263" t="s">
        <v>220</v>
      </c>
      <c r="B85" s="168"/>
      <c r="C85" s="168">
        <v>-50</v>
      </c>
      <c r="D85" s="168"/>
      <c r="E85" s="168"/>
      <c r="F85" s="168"/>
      <c r="G85" s="168"/>
      <c r="H85" s="168"/>
      <c r="I85" s="168"/>
      <c r="J85" s="168"/>
      <c r="K85" s="168"/>
      <c r="L85" s="262"/>
    </row>
    <row r="86" spans="1:14" s="170" customFormat="1" ht="11.1" customHeight="1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262"/>
    </row>
    <row r="87" spans="1:14" s="165" customFormat="1" ht="11.25" x14ac:dyDescent="0.2">
      <c r="A87" s="171" t="s">
        <v>1</v>
      </c>
      <c r="B87" s="172">
        <f t="shared" ref="B87:L87" si="7">SUM(B83,B80,B38)</f>
        <v>144939.86000000002</v>
      </c>
      <c r="C87" s="172">
        <f t="shared" si="7"/>
        <v>25528.59</v>
      </c>
      <c r="D87" s="172">
        <f t="shared" si="7"/>
        <v>54289.96</v>
      </c>
      <c r="E87" s="172">
        <f t="shared" si="7"/>
        <v>19558.410000000003</v>
      </c>
      <c r="F87" s="172">
        <f t="shared" si="7"/>
        <v>5000</v>
      </c>
      <c r="G87" s="172">
        <f t="shared" si="7"/>
        <v>5000</v>
      </c>
      <c r="H87" s="172">
        <f t="shared" si="7"/>
        <v>5000</v>
      </c>
      <c r="I87" s="172">
        <f t="shared" si="7"/>
        <v>0</v>
      </c>
      <c r="J87" s="172">
        <f t="shared" si="7"/>
        <v>0</v>
      </c>
      <c r="K87" s="172">
        <f t="shared" si="7"/>
        <v>0</v>
      </c>
      <c r="L87" s="172">
        <f t="shared" si="7"/>
        <v>259366.82</v>
      </c>
    </row>
    <row r="88" spans="1:14" x14ac:dyDescent="0.2">
      <c r="A88" s="173"/>
      <c r="B88" s="174"/>
      <c r="C88" s="174"/>
      <c r="D88" s="174"/>
      <c r="E88" s="174"/>
      <c r="F88" s="166"/>
      <c r="G88" s="166"/>
      <c r="H88" s="166"/>
      <c r="I88" s="166"/>
      <c r="J88" s="166"/>
      <c r="K88" s="166"/>
      <c r="L88" s="175"/>
    </row>
    <row r="89" spans="1:14" x14ac:dyDescent="0.2">
      <c r="B89" s="177"/>
      <c r="C89" s="177"/>
      <c r="D89" s="268"/>
      <c r="E89" s="177"/>
      <c r="H89" s="179">
        <f>G80*0.09</f>
        <v>450</v>
      </c>
      <c r="N89" s="180"/>
    </row>
    <row r="90" spans="1:14" x14ac:dyDescent="0.2">
      <c r="E90" s="269"/>
      <c r="G90" s="269">
        <f>G80+F80+E80+D80+C80</f>
        <v>88724.739999999991</v>
      </c>
      <c r="H90" s="269">
        <f>G90*0.2</f>
        <v>17744.948</v>
      </c>
    </row>
  </sheetData>
  <mergeCells count="1">
    <mergeCell ref="F2:K2"/>
  </mergeCells>
  <printOptions horizontalCentered="1"/>
  <pageMargins left="0" right="0" top="0.59055118110236227" bottom="0.59055118110236227" header="0.31496062992125984" footer="0.19685039370078741"/>
  <pageSetup paperSize="9" orientation="portrait" r:id="rId1"/>
  <headerFooter alignWithMargins="0">
    <oddHeader>&amp;LProgetto Formazione s.c.r.l.&amp;C&amp;"Arial,Grassetto"&amp;UInvestimenti&amp;R&amp;8&amp;D</oddHeader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Vertical="1" syncRef="A1">
    <pageSetUpPr autoPageBreaks="0"/>
  </sheetPr>
  <dimension ref="A1:AD207"/>
  <sheetViews>
    <sheetView showGridLines="0" tabSelected="1" zoomScale="110" zoomScaleNormal="110" workbookViewId="0">
      <selection activeCell="P188" sqref="P188"/>
    </sheetView>
  </sheetViews>
  <sheetFormatPr defaultColWidth="11.42578125" defaultRowHeight="12.75" outlineLevelCol="1" x14ac:dyDescent="0.2"/>
  <cols>
    <col min="1" max="1" width="9" style="8" bestFit="1" customWidth="1"/>
    <col min="2" max="2" width="10.7109375" style="8" bestFit="1" customWidth="1"/>
    <col min="3" max="3" width="9.85546875" style="8" bestFit="1" customWidth="1"/>
    <col min="4" max="4" width="10.7109375" style="8" bestFit="1" customWidth="1"/>
    <col min="5" max="5" width="9.85546875" style="8" bestFit="1" customWidth="1"/>
    <col min="6" max="6" width="1.7109375" style="19" customWidth="1"/>
    <col min="7" max="7" width="25.7109375" style="8" customWidth="1"/>
    <col min="8" max="8" width="1.7109375" style="19" customWidth="1"/>
    <col min="9" max="9" width="9.85546875" style="19" bestFit="1" customWidth="1"/>
    <col min="10" max="11" width="9.85546875" style="104" bestFit="1" customWidth="1"/>
    <col min="12" max="12" width="6.7109375" style="104" hidden="1" customWidth="1" outlineLevel="1"/>
    <col min="13" max="13" width="6.7109375" style="19" hidden="1" customWidth="1" outlineLevel="1"/>
    <col min="14" max="14" width="8.140625" style="19" hidden="1" customWidth="1" outlineLevel="1"/>
    <col min="15" max="15" width="8.140625" style="104" customWidth="1" collapsed="1"/>
    <col min="16" max="16" width="12" style="8" bestFit="1" customWidth="1"/>
    <col min="17" max="20" width="6.7109375" style="8" customWidth="1"/>
    <col min="21" max="21" width="2.7109375" style="8" customWidth="1"/>
    <col min="22" max="22" width="24.140625" style="8" bestFit="1" customWidth="1"/>
    <col min="23" max="23" width="2.140625" style="8" customWidth="1"/>
    <col min="24" max="26" width="6.7109375" style="8" customWidth="1"/>
    <col min="27" max="29" width="6.7109375" style="8" hidden="1" customWidth="1" outlineLevel="1"/>
    <col min="30" max="30" width="6.7109375" style="8" customWidth="1" collapsed="1"/>
    <col min="31" max="16384" width="11.42578125" style="8"/>
  </cols>
  <sheetData>
    <row r="1" spans="1:30" ht="12.95" customHeight="1" x14ac:dyDescent="0.2">
      <c r="A1" s="184"/>
      <c r="B1" s="77">
        <v>2016</v>
      </c>
      <c r="C1" s="77">
        <v>2017</v>
      </c>
      <c r="D1" s="77">
        <v>2018</v>
      </c>
      <c r="E1" s="77">
        <f>+D1+1</f>
        <v>2019</v>
      </c>
      <c r="F1" s="56"/>
      <c r="G1" s="42" t="s">
        <v>0</v>
      </c>
      <c r="H1" s="39"/>
      <c r="I1" s="237">
        <f>E1+1</f>
        <v>2020</v>
      </c>
      <c r="J1" s="124">
        <f>I1+1</f>
        <v>2021</v>
      </c>
      <c r="K1" s="124">
        <f>J1+1</f>
        <v>2022</v>
      </c>
      <c r="L1" s="124"/>
      <c r="M1" s="124"/>
      <c r="N1" s="74"/>
      <c r="O1" s="77" t="s">
        <v>1</v>
      </c>
      <c r="Q1" s="77">
        <v>2016</v>
      </c>
      <c r="R1" s="77">
        <v>2017</v>
      </c>
      <c r="S1" s="77">
        <v>2018</v>
      </c>
      <c r="T1" s="77">
        <f>+S1+1</f>
        <v>2019</v>
      </c>
      <c r="U1" s="56"/>
      <c r="V1" s="42" t="s">
        <v>77</v>
      </c>
      <c r="W1" s="39"/>
      <c r="X1" s="237">
        <f>T1+1</f>
        <v>2020</v>
      </c>
      <c r="Y1" s="124">
        <f>X1+1</f>
        <v>2021</v>
      </c>
      <c r="Z1" s="124">
        <f>Y1+1</f>
        <v>2022</v>
      </c>
      <c r="AA1" s="124"/>
      <c r="AB1" s="124"/>
      <c r="AC1" s="74"/>
      <c r="AD1" s="77" t="s">
        <v>1</v>
      </c>
    </row>
    <row r="2" spans="1:30" ht="12.95" customHeight="1" x14ac:dyDescent="0.2">
      <c r="A2" s="185"/>
      <c r="B2" s="127"/>
      <c r="C2" s="127"/>
      <c r="D2" s="76"/>
      <c r="E2" s="76" t="s">
        <v>62</v>
      </c>
      <c r="F2" s="56"/>
      <c r="G2" s="126"/>
      <c r="H2" s="39"/>
      <c r="I2" s="272" t="s">
        <v>90</v>
      </c>
      <c r="J2" s="273"/>
      <c r="K2" s="273"/>
      <c r="L2" s="273"/>
      <c r="M2" s="273"/>
      <c r="N2" s="274"/>
      <c r="O2" s="139" t="s">
        <v>91</v>
      </c>
      <c r="Q2" s="127"/>
      <c r="R2" s="127"/>
      <c r="S2" s="76"/>
      <c r="T2" s="76" t="s">
        <v>62</v>
      </c>
      <c r="U2" s="56"/>
      <c r="V2" s="126"/>
      <c r="W2" s="39"/>
      <c r="X2" s="272" t="s">
        <v>90</v>
      </c>
      <c r="Y2" s="273"/>
      <c r="Z2" s="273"/>
      <c r="AA2" s="273"/>
      <c r="AB2" s="273"/>
      <c r="AC2" s="274"/>
      <c r="AD2" s="139" t="s">
        <v>91</v>
      </c>
    </row>
    <row r="3" spans="1:30" ht="11.1" customHeight="1" x14ac:dyDescent="0.2">
      <c r="A3" s="33"/>
      <c r="B3" s="198"/>
      <c r="C3" s="198"/>
      <c r="D3" s="198"/>
      <c r="E3" s="198"/>
      <c r="F3" s="57"/>
      <c r="G3" s="43"/>
      <c r="H3" s="49"/>
      <c r="I3" s="198"/>
      <c r="J3" s="198"/>
      <c r="K3" s="198"/>
      <c r="L3" s="198"/>
      <c r="M3" s="198"/>
      <c r="N3" s="198"/>
      <c r="O3" s="200"/>
      <c r="Q3" s="81"/>
      <c r="R3" s="81"/>
      <c r="S3" s="81"/>
      <c r="T3" s="81"/>
      <c r="U3" s="57"/>
      <c r="V3" s="43"/>
      <c r="W3" s="49"/>
      <c r="X3" s="141"/>
      <c r="Y3" s="141"/>
      <c r="Z3" s="141"/>
      <c r="AA3" s="141"/>
      <c r="AB3" s="141"/>
      <c r="AC3" s="141"/>
      <c r="AD3" s="105"/>
    </row>
    <row r="4" spans="1:30" ht="11.1" customHeight="1" x14ac:dyDescent="0.2">
      <c r="A4" s="23"/>
      <c r="B4" s="199"/>
      <c r="C4" s="199"/>
      <c r="D4" s="199"/>
      <c r="E4" s="199"/>
      <c r="F4" s="25"/>
      <c r="G4" s="11"/>
      <c r="H4" s="50"/>
      <c r="I4" s="199"/>
      <c r="J4" s="199"/>
      <c r="K4" s="199"/>
      <c r="L4" s="199"/>
      <c r="M4" s="199"/>
      <c r="N4" s="199"/>
      <c r="O4" s="201"/>
      <c r="Q4" s="27"/>
      <c r="R4" s="27"/>
      <c r="S4" s="27"/>
      <c r="T4" s="27"/>
      <c r="U4" s="25"/>
      <c r="V4" s="11"/>
      <c r="W4" s="50"/>
      <c r="X4" s="30"/>
      <c r="Y4" s="30"/>
      <c r="Z4" s="30"/>
      <c r="AA4" s="30"/>
      <c r="AB4" s="30"/>
      <c r="AC4" s="30"/>
      <c r="AD4" s="106"/>
    </row>
    <row r="5" spans="1:30" ht="11.1" customHeight="1" x14ac:dyDescent="0.2">
      <c r="A5" s="23"/>
      <c r="B5" s="199">
        <f>Investimenti!B38</f>
        <v>141952.29</v>
      </c>
      <c r="C5" s="199">
        <f>Investimenti!C38</f>
        <v>20702.22</v>
      </c>
      <c r="D5" s="199">
        <f>Investimenti!D38</f>
        <v>0</v>
      </c>
      <c r="E5" s="199">
        <f>Investimenti!E38</f>
        <v>0</v>
      </c>
      <c r="F5" s="25"/>
      <c r="G5" s="64" t="str">
        <f>Investimenti!A38</f>
        <v>immobilizzazioni immateriali</v>
      </c>
      <c r="H5" s="50"/>
      <c r="I5" s="199">
        <f>Investimenti!F38</f>
        <v>0</v>
      </c>
      <c r="J5" s="199">
        <f>Investimenti!G38</f>
        <v>0</v>
      </c>
      <c r="K5" s="199">
        <f>Investimenti!H38</f>
        <v>0</v>
      </c>
      <c r="L5" s="199"/>
      <c r="M5" s="199"/>
      <c r="N5" s="199"/>
      <c r="O5" s="199">
        <f>SUM(I5:N5)</f>
        <v>0</v>
      </c>
      <c r="Q5" s="27"/>
      <c r="R5" s="27"/>
      <c r="S5" s="27"/>
      <c r="T5" s="30"/>
      <c r="U5" s="25"/>
      <c r="V5" s="64" t="str">
        <f>G5</f>
        <v>immobilizzazioni immateriali</v>
      </c>
      <c r="W5" s="50"/>
      <c r="X5" s="30"/>
      <c r="Y5" s="30"/>
      <c r="Z5" s="30"/>
      <c r="AA5" s="30"/>
      <c r="AB5" s="30"/>
      <c r="AC5" s="30"/>
      <c r="AD5" s="30">
        <f>SUM(X5:AC5)</f>
        <v>0</v>
      </c>
    </row>
    <row r="6" spans="1:30" ht="11.1" customHeight="1" x14ac:dyDescent="0.2">
      <c r="A6" s="23"/>
      <c r="B6" s="199">
        <f>Investimenti!B80</f>
        <v>2987.5699999999997</v>
      </c>
      <c r="C6" s="199">
        <f>Investimenti!C80</f>
        <v>4876.37</v>
      </c>
      <c r="D6" s="199">
        <f>Investimenti!D80</f>
        <v>54289.96</v>
      </c>
      <c r="E6" s="199">
        <f>Investimenti!E80</f>
        <v>19558.410000000003</v>
      </c>
      <c r="F6" s="25"/>
      <c r="G6" s="64" t="str">
        <f>Investimenti!A80</f>
        <v>Immobilizzazioni materiali</v>
      </c>
      <c r="H6" s="50"/>
      <c r="I6" s="199">
        <f>Investimenti!F80</f>
        <v>5000</v>
      </c>
      <c r="J6" s="199">
        <f>Investimenti!G80</f>
        <v>5000</v>
      </c>
      <c r="K6" s="199">
        <f>Investimenti!H80</f>
        <v>5000</v>
      </c>
      <c r="L6" s="199"/>
      <c r="M6" s="199"/>
      <c r="N6" s="199"/>
      <c r="O6" s="199">
        <f>SUM(I6:N6)</f>
        <v>15000</v>
      </c>
      <c r="Q6" s="27"/>
      <c r="R6" s="27"/>
      <c r="S6" s="27"/>
      <c r="T6" s="30"/>
      <c r="U6" s="25"/>
      <c r="V6" s="64" t="str">
        <f>G6</f>
        <v>Immobilizzazioni materiali</v>
      </c>
      <c r="W6" s="50"/>
      <c r="X6" s="30"/>
      <c r="Y6" s="30"/>
      <c r="Z6" s="30"/>
      <c r="AA6" s="30"/>
      <c r="AB6" s="30"/>
      <c r="AC6" s="30"/>
      <c r="AD6" s="30">
        <f t="shared" ref="AD6:AD7" si="0">SUM(X6:AC6)</f>
        <v>0</v>
      </c>
    </row>
    <row r="7" spans="1:30" ht="11.1" customHeight="1" x14ac:dyDescent="0.2">
      <c r="A7" s="23"/>
      <c r="B7" s="199">
        <f>Investimenti!B83</f>
        <v>0</v>
      </c>
      <c r="C7" s="199">
        <f>Investimenti!C83</f>
        <v>-50</v>
      </c>
      <c r="D7" s="199">
        <f>Investimenti!D83</f>
        <v>0</v>
      </c>
      <c r="E7" s="199">
        <f>Investimenti!E83</f>
        <v>0</v>
      </c>
      <c r="F7" s="25"/>
      <c r="G7" s="64" t="str">
        <f>Investimenti!A83</f>
        <v>immobilizzazioni finanziarie</v>
      </c>
      <c r="H7" s="50"/>
      <c r="I7" s="199">
        <f>Investimenti!F83</f>
        <v>0</v>
      </c>
      <c r="J7" s="199">
        <f>Investimenti!G83</f>
        <v>0</v>
      </c>
      <c r="K7" s="199">
        <f>Investimenti!H83</f>
        <v>0</v>
      </c>
      <c r="L7" s="199"/>
      <c r="M7" s="199"/>
      <c r="N7" s="199"/>
      <c r="O7" s="199">
        <f>SUM(I7:N7)</f>
        <v>0</v>
      </c>
      <c r="Q7" s="27"/>
      <c r="R7" s="27"/>
      <c r="S7" s="27"/>
      <c r="T7" s="30"/>
      <c r="U7" s="25"/>
      <c r="V7" s="64" t="str">
        <f>G7</f>
        <v>immobilizzazioni finanziarie</v>
      </c>
      <c r="W7" s="50"/>
      <c r="X7" s="30"/>
      <c r="Y7" s="30"/>
      <c r="Z7" s="30"/>
      <c r="AA7" s="30"/>
      <c r="AB7" s="30"/>
      <c r="AC7" s="30"/>
      <c r="AD7" s="30">
        <f t="shared" si="0"/>
        <v>0</v>
      </c>
    </row>
    <row r="8" spans="1:30" ht="11.1" customHeight="1" x14ac:dyDescent="0.2">
      <c r="A8" s="23"/>
      <c r="B8" s="199"/>
      <c r="C8" s="199"/>
      <c r="D8" s="199"/>
      <c r="E8" s="199"/>
      <c r="F8" s="25"/>
      <c r="G8" s="14"/>
      <c r="H8" s="52"/>
      <c r="I8" s="199"/>
      <c r="J8" s="202"/>
      <c r="K8" s="202"/>
      <c r="L8" s="202"/>
      <c r="M8" s="202"/>
      <c r="N8" s="202"/>
      <c r="O8" s="201"/>
      <c r="Q8" s="27"/>
      <c r="R8" s="27"/>
      <c r="S8" s="27"/>
      <c r="T8" s="27"/>
      <c r="U8" s="25"/>
      <c r="V8" s="14"/>
      <c r="W8" s="52"/>
      <c r="X8" s="30"/>
      <c r="Y8" s="78"/>
      <c r="Z8" s="78"/>
      <c r="AA8" s="78"/>
      <c r="AB8" s="78"/>
      <c r="AC8" s="78"/>
      <c r="AD8" s="106"/>
    </row>
    <row r="9" spans="1:30" ht="12.95" customHeight="1" x14ac:dyDescent="0.2">
      <c r="A9" s="108"/>
      <c r="B9" s="82">
        <f>SUM(B5:B8)</f>
        <v>144939.86000000002</v>
      </c>
      <c r="C9" s="82">
        <f t="shared" ref="C9:E9" si="1">SUM(C5:C8)</f>
        <v>25528.59</v>
      </c>
      <c r="D9" s="82">
        <f t="shared" si="1"/>
        <v>54289.96</v>
      </c>
      <c r="E9" s="82">
        <f t="shared" si="1"/>
        <v>19558.410000000003</v>
      </c>
      <c r="F9" s="47"/>
      <c r="G9" s="15" t="s">
        <v>2</v>
      </c>
      <c r="H9" s="51"/>
      <c r="I9" s="82">
        <f t="shared" ref="I9:K9" si="2">SUM(I5:I8)</f>
        <v>5000</v>
      </c>
      <c r="J9" s="82">
        <f t="shared" si="2"/>
        <v>5000</v>
      </c>
      <c r="K9" s="82">
        <f t="shared" si="2"/>
        <v>5000</v>
      </c>
      <c r="L9" s="82"/>
      <c r="M9" s="82"/>
      <c r="N9" s="82"/>
      <c r="O9" s="82">
        <f>SUM(B9:N9)/1000</f>
        <v>259.31682000000001</v>
      </c>
      <c r="Q9" s="82">
        <f>SUM(Q5:Q8)</f>
        <v>0</v>
      </c>
      <c r="R9" s="82">
        <f t="shared" ref="R9:T9" si="3">SUM(R5:R8)</f>
        <v>0</v>
      </c>
      <c r="S9" s="82">
        <f t="shared" si="3"/>
        <v>0</v>
      </c>
      <c r="T9" s="82">
        <f t="shared" si="3"/>
        <v>0</v>
      </c>
      <c r="U9" s="47"/>
      <c r="V9" s="15" t="s">
        <v>85</v>
      </c>
      <c r="W9" s="51"/>
      <c r="X9" s="82">
        <f t="shared" ref="X9:Z9" si="4">SUM(X5:X8)</f>
        <v>0</v>
      </c>
      <c r="Y9" s="82">
        <f t="shared" si="4"/>
        <v>0</v>
      </c>
      <c r="Z9" s="82">
        <f t="shared" si="4"/>
        <v>0</v>
      </c>
      <c r="AA9" s="82"/>
      <c r="AB9" s="82"/>
      <c r="AC9" s="82"/>
      <c r="AD9" s="82">
        <f>SUM(Q9:AC9)/1000</f>
        <v>0</v>
      </c>
    </row>
    <row r="10" spans="1:30" ht="12.95" customHeight="1" x14ac:dyDescent="0.2">
      <c r="A10" s="103"/>
      <c r="B10" s="7"/>
      <c r="C10" s="7"/>
      <c r="D10" s="7"/>
      <c r="E10" s="7"/>
      <c r="F10" s="35"/>
      <c r="G10" s="7"/>
      <c r="H10" s="35"/>
      <c r="I10" s="35"/>
      <c r="J10" s="103"/>
      <c r="K10" s="35"/>
      <c r="L10" s="35"/>
      <c r="M10" s="35"/>
      <c r="N10" s="35"/>
      <c r="O10" s="103"/>
      <c r="Q10" s="7"/>
      <c r="R10" s="7"/>
      <c r="S10" s="7"/>
      <c r="T10" s="7"/>
      <c r="U10" s="35"/>
      <c r="V10" s="7"/>
      <c r="W10" s="35"/>
      <c r="X10" s="35"/>
      <c r="Y10" s="103"/>
      <c r="Z10" s="35"/>
      <c r="AA10" s="35"/>
      <c r="AB10" s="35"/>
      <c r="AC10" s="35"/>
      <c r="AD10" s="103"/>
    </row>
    <row r="11" spans="1:30" s="6" customFormat="1" x14ac:dyDescent="0.2">
      <c r="A11"/>
      <c r="B11" s="77">
        <v>2016</v>
      </c>
      <c r="C11" s="77">
        <v>2017</v>
      </c>
      <c r="D11" s="77">
        <v>2018</v>
      </c>
      <c r="E11" s="77">
        <f>+D11+1</f>
        <v>2019</v>
      </c>
      <c r="F11" s="83"/>
      <c r="G11" s="42" t="s">
        <v>3</v>
      </c>
      <c r="H11" s="59"/>
      <c r="I11" s="237">
        <f>E11+1</f>
        <v>2020</v>
      </c>
      <c r="J11" s="124">
        <f>I11+1</f>
        <v>2021</v>
      </c>
      <c r="K11" s="124">
        <f>J11+1</f>
        <v>2022</v>
      </c>
      <c r="L11" s="124"/>
      <c r="M11" s="124"/>
      <c r="N11" s="74"/>
      <c r="O11" s="77" t="s">
        <v>1</v>
      </c>
      <c r="Q11" s="77">
        <v>2016</v>
      </c>
      <c r="R11" s="77">
        <v>2017</v>
      </c>
      <c r="S11" s="77">
        <v>2018</v>
      </c>
      <c r="T11" s="77">
        <f>+S11+1</f>
        <v>2019</v>
      </c>
      <c r="U11" s="83"/>
      <c r="V11" s="42" t="s">
        <v>78</v>
      </c>
      <c r="W11" s="59"/>
      <c r="X11" s="237">
        <f>T11+1</f>
        <v>2020</v>
      </c>
      <c r="Y11" s="124">
        <f>X11+1</f>
        <v>2021</v>
      </c>
      <c r="Z11" s="124">
        <f>Y11+1</f>
        <v>2022</v>
      </c>
      <c r="AA11" s="124"/>
      <c r="AB11" s="124"/>
      <c r="AC11" s="74"/>
      <c r="AD11" s="77" t="s">
        <v>1</v>
      </c>
    </row>
    <row r="12" spans="1:30" ht="12.95" customHeight="1" x14ac:dyDescent="0.2">
      <c r="A12" s="181"/>
      <c r="B12" s="127"/>
      <c r="C12" s="127"/>
      <c r="D12" s="76"/>
      <c r="E12" s="76" t="s">
        <v>62</v>
      </c>
      <c r="F12" s="25"/>
      <c r="G12" s="191" t="s">
        <v>70</v>
      </c>
      <c r="H12" s="53"/>
      <c r="I12" s="272" t="s">
        <v>90</v>
      </c>
      <c r="J12" s="273"/>
      <c r="K12" s="273"/>
      <c r="L12" s="273"/>
      <c r="M12" s="273"/>
      <c r="N12" s="274"/>
      <c r="O12" s="139" t="s">
        <v>91</v>
      </c>
      <c r="Q12" s="127"/>
      <c r="R12" s="127"/>
      <c r="S12" s="76"/>
      <c r="T12" s="76" t="s">
        <v>62</v>
      </c>
      <c r="U12" s="25"/>
      <c r="V12" s="191" t="s">
        <v>70</v>
      </c>
      <c r="W12" s="53"/>
      <c r="X12" s="272" t="s">
        <v>90</v>
      </c>
      <c r="Y12" s="273"/>
      <c r="Z12" s="273"/>
      <c r="AA12" s="273"/>
      <c r="AB12" s="273"/>
      <c r="AC12" s="274"/>
      <c r="AD12" s="139" t="s">
        <v>91</v>
      </c>
    </row>
    <row r="13" spans="1:30" ht="12.95" customHeight="1" x14ac:dyDescent="0.2">
      <c r="A13" s="181"/>
      <c r="B13" s="30"/>
      <c r="C13" s="30"/>
      <c r="D13" s="30"/>
      <c r="E13" s="30"/>
      <c r="F13" s="25"/>
      <c r="G13" s="190"/>
      <c r="H13" s="53"/>
      <c r="I13" s="30"/>
      <c r="J13" s="30"/>
      <c r="K13" s="30"/>
      <c r="L13" s="30"/>
      <c r="M13" s="30"/>
      <c r="N13" s="30"/>
      <c r="O13" s="30"/>
      <c r="Q13" s="30"/>
      <c r="R13" s="30"/>
      <c r="S13" s="30"/>
      <c r="T13" s="30"/>
      <c r="U13" s="25"/>
      <c r="V13" s="190"/>
      <c r="W13" s="53"/>
      <c r="X13" s="30"/>
      <c r="Y13" s="30"/>
      <c r="Z13" s="30"/>
      <c r="AA13" s="30"/>
      <c r="AB13" s="30"/>
      <c r="AC13" s="30"/>
      <c r="AD13" s="30"/>
    </row>
    <row r="14" spans="1:30" ht="12.95" customHeight="1" x14ac:dyDescent="0.2">
      <c r="A14" s="181"/>
      <c r="B14" s="30">
        <v>16781.349999999999</v>
      </c>
      <c r="C14" s="30">
        <v>21237.02</v>
      </c>
      <c r="D14" s="30">
        <f>767+1239.85+16127.68</f>
        <v>18134.53</v>
      </c>
      <c r="E14" s="30">
        <v>18135</v>
      </c>
      <c r="F14" s="25"/>
      <c r="G14" s="190"/>
      <c r="H14" s="53"/>
      <c r="I14" s="30">
        <v>18135</v>
      </c>
      <c r="J14" s="30">
        <v>18135</v>
      </c>
      <c r="K14" s="30">
        <v>18135</v>
      </c>
      <c r="L14" s="30"/>
      <c r="M14" s="30"/>
      <c r="N14" s="30"/>
      <c r="O14" s="30">
        <f>SUM(I14:K14)</f>
        <v>54405</v>
      </c>
      <c r="Q14" s="30"/>
      <c r="R14" s="30"/>
      <c r="S14" s="30"/>
      <c r="T14" s="30"/>
      <c r="U14" s="25"/>
      <c r="V14" s="190"/>
      <c r="W14" s="53"/>
      <c r="X14" s="30"/>
      <c r="Y14" s="30"/>
      <c r="Z14" s="30"/>
      <c r="AA14" s="30"/>
      <c r="AB14" s="30"/>
      <c r="AC14" s="30"/>
      <c r="AD14" s="30"/>
    </row>
    <row r="15" spans="1:30" ht="12.95" customHeight="1" x14ac:dyDescent="0.2">
      <c r="A15" s="181"/>
      <c r="B15" s="30"/>
      <c r="C15" s="30"/>
      <c r="D15" s="30"/>
      <c r="E15" s="30"/>
      <c r="F15" s="44"/>
      <c r="G15" s="190"/>
      <c r="H15" s="53"/>
      <c r="I15" s="30"/>
      <c r="J15" s="30"/>
      <c r="K15" s="30"/>
      <c r="L15" s="30"/>
      <c r="M15" s="30"/>
      <c r="N15" s="30"/>
      <c r="O15" s="30"/>
      <c r="Q15" s="30"/>
      <c r="R15" s="30"/>
      <c r="S15" s="30"/>
      <c r="T15" s="30"/>
      <c r="U15" s="44"/>
      <c r="V15" s="190"/>
      <c r="W15" s="53"/>
      <c r="X15" s="30"/>
      <c r="Y15" s="30"/>
      <c r="Z15" s="30"/>
      <c r="AA15" s="30"/>
      <c r="AB15" s="30"/>
      <c r="AC15" s="30"/>
      <c r="AD15" s="30"/>
    </row>
    <row r="16" spans="1:30" ht="12.95" customHeight="1" x14ac:dyDescent="0.2">
      <c r="A16" s="181"/>
      <c r="B16" s="30"/>
      <c r="C16" s="30"/>
      <c r="D16" s="30"/>
      <c r="E16" s="30"/>
      <c r="F16" s="44"/>
      <c r="G16" s="190"/>
      <c r="H16" s="53"/>
      <c r="I16" s="30"/>
      <c r="J16" s="30"/>
      <c r="K16" s="30"/>
      <c r="L16" s="30"/>
      <c r="M16" s="30"/>
      <c r="N16" s="30"/>
      <c r="O16" s="30"/>
      <c r="Q16" s="30"/>
      <c r="R16" s="30"/>
      <c r="S16" s="30"/>
      <c r="T16" s="30"/>
      <c r="U16" s="44"/>
      <c r="V16" s="190"/>
      <c r="W16" s="53"/>
      <c r="X16" s="30"/>
      <c r="Y16" s="30"/>
      <c r="Z16" s="30"/>
      <c r="AA16" s="30"/>
      <c r="AB16" s="30"/>
      <c r="AC16" s="30"/>
      <c r="AD16" s="30"/>
    </row>
    <row r="17" spans="1:30" ht="12.95" customHeight="1" x14ac:dyDescent="0.2">
      <c r="A17" s="181"/>
      <c r="B17" s="30"/>
      <c r="C17" s="30"/>
      <c r="D17" s="30"/>
      <c r="E17" s="30"/>
      <c r="F17" s="44"/>
      <c r="G17" s="190"/>
      <c r="H17" s="53"/>
      <c r="I17" s="30"/>
      <c r="J17" s="30"/>
      <c r="K17" s="30"/>
      <c r="L17" s="30"/>
      <c r="M17" s="30"/>
      <c r="N17" s="30"/>
      <c r="O17" s="30"/>
      <c r="Q17" s="30"/>
      <c r="R17" s="30"/>
      <c r="S17" s="30"/>
      <c r="T17" s="30"/>
      <c r="U17" s="44"/>
      <c r="V17" s="190"/>
      <c r="W17" s="53"/>
      <c r="X17" s="30"/>
      <c r="Y17" s="30"/>
      <c r="Z17" s="30"/>
      <c r="AA17" s="30"/>
      <c r="AB17" s="30"/>
      <c r="AC17" s="30"/>
      <c r="AD17" s="30"/>
    </row>
    <row r="18" spans="1:30" ht="12.95" customHeight="1" x14ac:dyDescent="0.2">
      <c r="A18" s="181"/>
      <c r="B18" s="30"/>
      <c r="C18" s="30"/>
      <c r="D18" s="30"/>
      <c r="E18" s="30"/>
      <c r="F18" s="44"/>
      <c r="G18" s="190"/>
      <c r="H18" s="53"/>
      <c r="I18" s="30"/>
      <c r="J18" s="30"/>
      <c r="K18" s="30"/>
      <c r="L18" s="30"/>
      <c r="M18" s="30"/>
      <c r="N18" s="30"/>
      <c r="O18" s="30"/>
      <c r="Q18" s="30"/>
      <c r="R18" s="30"/>
      <c r="S18" s="30"/>
      <c r="T18" s="30"/>
      <c r="U18" s="44"/>
      <c r="V18" s="190"/>
      <c r="W18" s="53"/>
      <c r="X18" s="30"/>
      <c r="Y18" s="30"/>
      <c r="Z18" s="30"/>
      <c r="AA18" s="30"/>
      <c r="AB18" s="30"/>
      <c r="AC18" s="30"/>
      <c r="AD18" s="30"/>
    </row>
    <row r="19" spans="1:30" ht="12.95" customHeight="1" x14ac:dyDescent="0.2">
      <c r="A19" s="181"/>
      <c r="B19" s="30"/>
      <c r="C19" s="30"/>
      <c r="D19" s="30"/>
      <c r="E19" s="30"/>
      <c r="F19" s="44"/>
      <c r="G19" s="190"/>
      <c r="H19" s="53"/>
      <c r="I19" s="30"/>
      <c r="J19" s="30"/>
      <c r="K19" s="30"/>
      <c r="L19" s="30"/>
      <c r="M19" s="30"/>
      <c r="N19" s="30"/>
      <c r="O19" s="30"/>
      <c r="Q19" s="30"/>
      <c r="R19" s="30"/>
      <c r="S19" s="30"/>
      <c r="T19" s="30"/>
      <c r="U19" s="44"/>
      <c r="V19" s="190"/>
      <c r="W19" s="53"/>
      <c r="X19" s="30"/>
      <c r="Y19" s="30"/>
      <c r="Z19" s="30"/>
      <c r="AA19" s="30"/>
      <c r="AB19" s="30"/>
      <c r="AC19" s="30"/>
      <c r="AD19" s="30"/>
    </row>
    <row r="20" spans="1:30" ht="12.95" customHeight="1" x14ac:dyDescent="0.2">
      <c r="A20" s="145"/>
      <c r="B20" s="61">
        <f>SUM(B12:B19)</f>
        <v>16781.349999999999</v>
      </c>
      <c r="C20" s="61">
        <f>SUM(C12:C19)</f>
        <v>21237.02</v>
      </c>
      <c r="D20" s="61">
        <f>SUM(D12:D19)</f>
        <v>18134.53</v>
      </c>
      <c r="E20" s="61">
        <f>SUM(E12:E19)</f>
        <v>18135</v>
      </c>
      <c r="F20" s="40"/>
      <c r="G20" s="17" t="s">
        <v>1</v>
      </c>
      <c r="H20" s="54"/>
      <c r="I20" s="61">
        <f t="shared" ref="I20:O20" si="5">SUM(I12:I19)</f>
        <v>18135</v>
      </c>
      <c r="J20" s="61">
        <f t="shared" si="5"/>
        <v>18135</v>
      </c>
      <c r="K20" s="61">
        <f t="shared" si="5"/>
        <v>18135</v>
      </c>
      <c r="L20" s="61"/>
      <c r="M20" s="61"/>
      <c r="N20" s="61"/>
      <c r="O20" s="61">
        <f t="shared" si="5"/>
        <v>54405</v>
      </c>
      <c r="Q20" s="61">
        <f>SUM(Q12:Q19)</f>
        <v>0</v>
      </c>
      <c r="R20" s="61">
        <f>SUM(R12:R19)</f>
        <v>0</v>
      </c>
      <c r="S20" s="61">
        <f>SUM(S12:S19)</f>
        <v>0</v>
      </c>
      <c r="T20" s="61">
        <f>SUM(T12:T19)</f>
        <v>0</v>
      </c>
      <c r="U20" s="40"/>
      <c r="V20" s="17" t="s">
        <v>1</v>
      </c>
      <c r="W20" s="54"/>
      <c r="X20" s="61">
        <f t="shared" ref="X20:AD20" si="6">SUM(X12:X19)</f>
        <v>0</v>
      </c>
      <c r="Y20" s="61">
        <f t="shared" si="6"/>
        <v>0</v>
      </c>
      <c r="Z20" s="61">
        <f t="shared" si="6"/>
        <v>0</v>
      </c>
      <c r="AA20" s="61"/>
      <c r="AB20" s="61"/>
      <c r="AC20" s="61"/>
      <c r="AD20" s="61">
        <f t="shared" si="6"/>
        <v>0</v>
      </c>
    </row>
    <row r="21" spans="1:30" ht="12.95" customHeight="1" x14ac:dyDescent="0.2">
      <c r="A21" s="145"/>
      <c r="B21" s="145"/>
      <c r="C21" s="145"/>
      <c r="D21" s="145"/>
      <c r="E21" s="145"/>
      <c r="F21" s="45"/>
      <c r="G21" s="18"/>
      <c r="H21" s="45"/>
      <c r="I21" s="12"/>
      <c r="J21" s="12"/>
      <c r="K21" s="12"/>
      <c r="L21" s="12"/>
      <c r="M21" s="23"/>
      <c r="N21" s="23"/>
      <c r="O21" s="35"/>
      <c r="Q21" s="145"/>
      <c r="R21" s="145"/>
      <c r="S21" s="145"/>
      <c r="T21" s="145"/>
      <c r="U21" s="45"/>
      <c r="V21" s="18"/>
      <c r="W21" s="45"/>
      <c r="X21" s="12"/>
      <c r="Y21" s="12"/>
      <c r="Z21" s="12"/>
      <c r="AA21" s="12"/>
      <c r="AB21" s="23"/>
      <c r="AC21" s="23"/>
      <c r="AD21" s="35"/>
    </row>
    <row r="22" spans="1:30" ht="12.95" customHeight="1" x14ac:dyDescent="0.2">
      <c r="A22"/>
      <c r="B22" s="77">
        <v>2016</v>
      </c>
      <c r="C22" s="77">
        <v>2017</v>
      </c>
      <c r="D22" s="77">
        <v>2018</v>
      </c>
      <c r="E22" s="77">
        <f>+D22+1</f>
        <v>2019</v>
      </c>
      <c r="F22" s="83"/>
      <c r="G22" s="42" t="s">
        <v>3</v>
      </c>
      <c r="H22" s="59"/>
      <c r="I22" s="237">
        <f>E22+1</f>
        <v>2020</v>
      </c>
      <c r="J22" s="124">
        <f>I22+1</f>
        <v>2021</v>
      </c>
      <c r="K22" s="124">
        <f>J22+1</f>
        <v>2022</v>
      </c>
      <c r="L22" s="124"/>
      <c r="M22" s="124"/>
      <c r="N22" s="74"/>
      <c r="O22" s="77" t="s">
        <v>1</v>
      </c>
      <c r="Q22" s="77">
        <v>2016</v>
      </c>
      <c r="R22" s="77">
        <v>2017</v>
      </c>
      <c r="S22" s="77">
        <v>2018</v>
      </c>
      <c r="T22" s="77">
        <f>+S22+1</f>
        <v>2019</v>
      </c>
      <c r="U22" s="83"/>
      <c r="V22" s="42" t="s">
        <v>78</v>
      </c>
      <c r="W22" s="59"/>
      <c r="X22" s="237">
        <f>T22+1</f>
        <v>2020</v>
      </c>
      <c r="Y22" s="124">
        <f>X22+1</f>
        <v>2021</v>
      </c>
      <c r="Z22" s="124">
        <f>Y22+1</f>
        <v>2022</v>
      </c>
      <c r="AA22" s="124"/>
      <c r="AB22" s="124"/>
      <c r="AC22" s="74"/>
      <c r="AD22" s="77" t="s">
        <v>1</v>
      </c>
    </row>
    <row r="23" spans="1:30" ht="12.95" customHeight="1" x14ac:dyDescent="0.2">
      <c r="A23" s="181"/>
      <c r="B23" s="127"/>
      <c r="C23" s="127"/>
      <c r="D23" s="76"/>
      <c r="E23" s="76" t="s">
        <v>62</v>
      </c>
      <c r="F23" s="25"/>
      <c r="G23" s="191" t="s">
        <v>71</v>
      </c>
      <c r="H23" s="53"/>
      <c r="I23" s="272" t="s">
        <v>90</v>
      </c>
      <c r="J23" s="273"/>
      <c r="K23" s="273"/>
      <c r="L23" s="273"/>
      <c r="M23" s="273"/>
      <c r="N23" s="274"/>
      <c r="O23" s="139" t="s">
        <v>91</v>
      </c>
      <c r="Q23" s="127"/>
      <c r="R23" s="127"/>
      <c r="S23" s="76"/>
      <c r="T23" s="76" t="s">
        <v>62</v>
      </c>
      <c r="U23" s="25"/>
      <c r="V23" s="191" t="s">
        <v>71</v>
      </c>
      <c r="W23" s="53"/>
      <c r="X23" s="272" t="s">
        <v>90</v>
      </c>
      <c r="Y23" s="273"/>
      <c r="Z23" s="273"/>
      <c r="AA23" s="273"/>
      <c r="AB23" s="273"/>
      <c r="AC23" s="274"/>
      <c r="AD23" s="139" t="s">
        <v>91</v>
      </c>
    </row>
    <row r="24" spans="1:30" ht="12.95" customHeight="1" x14ac:dyDescent="0.2">
      <c r="A24" s="181"/>
      <c r="B24" s="30"/>
      <c r="C24" s="30"/>
      <c r="D24" s="30"/>
      <c r="E24" s="30"/>
      <c r="F24" s="25"/>
      <c r="G24" s="190"/>
      <c r="H24" s="53"/>
      <c r="I24" s="30"/>
      <c r="J24" s="30"/>
      <c r="K24" s="30"/>
      <c r="L24" s="30"/>
      <c r="M24" s="30"/>
      <c r="N24" s="30"/>
      <c r="O24" s="30"/>
      <c r="Q24" s="30"/>
      <c r="R24" s="30"/>
      <c r="S24" s="30"/>
      <c r="T24" s="30"/>
      <c r="U24" s="25"/>
      <c r="V24" s="190"/>
      <c r="W24" s="53"/>
      <c r="X24" s="30"/>
      <c r="Y24" s="30"/>
      <c r="Z24" s="30"/>
      <c r="AA24" s="30"/>
      <c r="AB24" s="30"/>
      <c r="AC24" s="30"/>
      <c r="AD24" s="30"/>
    </row>
    <row r="25" spans="1:30" ht="12.95" customHeight="1" x14ac:dyDescent="0.2">
      <c r="A25" s="181"/>
      <c r="B25" s="30">
        <v>6789.92</v>
      </c>
      <c r="C25" s="30">
        <v>5212.17</v>
      </c>
      <c r="D25" s="30">
        <f>15280.85+12000.15+1011.22+1371.65</f>
        <v>29663.870000000003</v>
      </c>
      <c r="E25" s="30">
        <f>12431+2088</f>
        <v>14519</v>
      </c>
      <c r="F25" s="25"/>
      <c r="G25" s="190"/>
      <c r="H25" s="53"/>
      <c r="I25" s="30">
        <f>1073+16342-3912</f>
        <v>13503</v>
      </c>
      <c r="J25" s="30">
        <f>17342+450+(-3912-450-1000)</f>
        <v>12430</v>
      </c>
      <c r="K25" s="30">
        <f>17745+450+(-3912-450-1000-1000)</f>
        <v>11833</v>
      </c>
      <c r="L25" s="30"/>
      <c r="M25" s="30"/>
      <c r="N25" s="30"/>
      <c r="O25" s="30">
        <f>SUM(I25:K25)</f>
        <v>37766</v>
      </c>
      <c r="Q25" s="30"/>
      <c r="R25" s="30"/>
      <c r="S25" s="30"/>
      <c r="T25" s="30"/>
      <c r="U25" s="25"/>
      <c r="V25" s="190"/>
      <c r="W25" s="53"/>
      <c r="X25" s="30"/>
      <c r="Y25" s="30"/>
      <c r="Z25" s="30"/>
      <c r="AA25" s="30"/>
      <c r="AB25" s="30"/>
      <c r="AC25" s="30"/>
      <c r="AD25" s="30"/>
    </row>
    <row r="26" spans="1:30" ht="12.95" customHeight="1" x14ac:dyDescent="0.2">
      <c r="A26" s="181"/>
      <c r="B26" s="30"/>
      <c r="C26" s="30"/>
      <c r="D26" s="30"/>
      <c r="E26" s="30">
        <f>+E6*0.09</f>
        <v>1760.2569000000003</v>
      </c>
      <c r="F26" s="44"/>
      <c r="G26" s="190"/>
      <c r="H26" s="53"/>
      <c r="I26" s="30">
        <f>+E6*0.18+I6*0.09</f>
        <v>3970.5138000000006</v>
      </c>
      <c r="J26" s="30">
        <f>+E6*0.18+I6*0.18+J6*0.09</f>
        <v>4870.5138000000006</v>
      </c>
      <c r="K26" s="30">
        <f>+E6*0.18+I6*0.18+J6*0.18+K6*0.09</f>
        <v>5770.5138000000006</v>
      </c>
      <c r="L26" s="30"/>
      <c r="M26" s="30"/>
      <c r="N26" s="30"/>
      <c r="O26" s="30">
        <f>SUM(I26:K26)</f>
        <v>14611.541400000002</v>
      </c>
      <c r="Q26" s="30"/>
      <c r="R26" s="30"/>
      <c r="S26" s="30"/>
      <c r="T26" s="30"/>
      <c r="U26" s="44"/>
      <c r="V26" s="190"/>
      <c r="W26" s="53"/>
      <c r="X26" s="30"/>
      <c r="Y26" s="30"/>
      <c r="Z26" s="30"/>
      <c r="AA26" s="30"/>
      <c r="AB26" s="30"/>
      <c r="AC26" s="30"/>
      <c r="AD26" s="30"/>
    </row>
    <row r="27" spans="1:30" ht="12.95" customHeight="1" x14ac:dyDescent="0.2">
      <c r="A27" s="181"/>
      <c r="B27" s="30"/>
      <c r="C27" s="30"/>
      <c r="D27" s="30"/>
      <c r="E27" s="30"/>
      <c r="F27" s="44"/>
      <c r="G27" s="190"/>
      <c r="H27" s="53"/>
      <c r="I27" s="30"/>
      <c r="J27" s="30"/>
      <c r="K27" s="30"/>
      <c r="L27" s="30"/>
      <c r="M27" s="30"/>
      <c r="N27" s="30"/>
      <c r="O27" s="30"/>
      <c r="Q27" s="30"/>
      <c r="R27" s="30"/>
      <c r="S27" s="30"/>
      <c r="T27" s="30"/>
      <c r="U27" s="44"/>
      <c r="V27" s="190"/>
      <c r="W27" s="53"/>
      <c r="X27" s="30"/>
      <c r="Y27" s="30"/>
      <c r="Z27" s="30"/>
      <c r="AA27" s="30"/>
      <c r="AB27" s="30"/>
      <c r="AC27" s="30"/>
      <c r="AD27" s="30"/>
    </row>
    <row r="28" spans="1:30" ht="12.95" customHeight="1" x14ac:dyDescent="0.2">
      <c r="A28" s="181"/>
      <c r="B28" s="30"/>
      <c r="C28" s="30"/>
      <c r="D28" s="30"/>
      <c r="E28" s="30"/>
      <c r="F28" s="44"/>
      <c r="G28" s="190"/>
      <c r="H28" s="53"/>
      <c r="I28" s="30"/>
      <c r="J28" s="30"/>
      <c r="K28" s="30"/>
      <c r="L28" s="30"/>
      <c r="M28" s="30"/>
      <c r="N28" s="30"/>
      <c r="O28" s="30"/>
      <c r="Q28" s="30"/>
      <c r="R28" s="30"/>
      <c r="S28" s="30"/>
      <c r="T28" s="30"/>
      <c r="U28" s="44"/>
      <c r="V28" s="190"/>
      <c r="W28" s="53"/>
      <c r="X28" s="30"/>
      <c r="Y28" s="30"/>
      <c r="Z28" s="30"/>
      <c r="AA28" s="30"/>
      <c r="AB28" s="30"/>
      <c r="AC28" s="30"/>
      <c r="AD28" s="30"/>
    </row>
    <row r="29" spans="1:30" ht="12.95" customHeight="1" x14ac:dyDescent="0.2">
      <c r="A29" s="181"/>
      <c r="B29" s="30"/>
      <c r="C29" s="30"/>
      <c r="D29" s="30"/>
      <c r="E29" s="30"/>
      <c r="F29" s="44"/>
      <c r="G29" s="190"/>
      <c r="H29" s="53"/>
      <c r="I29" s="30"/>
      <c r="J29" s="30"/>
      <c r="K29" s="30"/>
      <c r="L29" s="30"/>
      <c r="M29" s="30"/>
      <c r="N29" s="30"/>
      <c r="O29" s="30"/>
      <c r="Q29" s="30"/>
      <c r="R29" s="30"/>
      <c r="S29" s="30"/>
      <c r="T29" s="30"/>
      <c r="U29" s="44"/>
      <c r="V29" s="190"/>
      <c r="W29" s="53"/>
      <c r="X29" s="30"/>
      <c r="Y29" s="30"/>
      <c r="Z29" s="30"/>
      <c r="AA29" s="30"/>
      <c r="AB29" s="30"/>
      <c r="AC29" s="30"/>
      <c r="AD29" s="30"/>
    </row>
    <row r="30" spans="1:30" ht="12.95" customHeight="1" x14ac:dyDescent="0.2">
      <c r="A30" s="181"/>
      <c r="B30" s="30"/>
      <c r="C30" s="30"/>
      <c r="D30" s="30"/>
      <c r="E30" s="30"/>
      <c r="F30" s="44"/>
      <c r="G30" s="190"/>
      <c r="H30" s="53"/>
      <c r="I30" s="30"/>
      <c r="J30" s="30"/>
      <c r="K30" s="30"/>
      <c r="L30" s="30"/>
      <c r="M30" s="30"/>
      <c r="N30" s="30"/>
      <c r="O30" s="30"/>
      <c r="Q30" s="30"/>
      <c r="R30" s="30"/>
      <c r="S30" s="30"/>
      <c r="T30" s="30"/>
      <c r="U30" s="44"/>
      <c r="V30" s="190"/>
      <c r="W30" s="53"/>
      <c r="X30" s="30"/>
      <c r="Y30" s="30"/>
      <c r="Z30" s="30"/>
      <c r="AA30" s="30"/>
      <c r="AB30" s="30"/>
      <c r="AC30" s="30"/>
      <c r="AD30" s="30"/>
    </row>
    <row r="31" spans="1:30" ht="12.95" customHeight="1" x14ac:dyDescent="0.2">
      <c r="A31" s="145"/>
      <c r="B31" s="61">
        <f>SUM(B23:B30)</f>
        <v>6789.92</v>
      </c>
      <c r="C31" s="61">
        <f>SUM(C23:C30)</f>
        <v>5212.17</v>
      </c>
      <c r="D31" s="61">
        <f>SUM(D23:D30)</f>
        <v>29663.870000000003</v>
      </c>
      <c r="E31" s="61">
        <f>SUM(E23:E30)</f>
        <v>16279.2569</v>
      </c>
      <c r="F31" s="40"/>
      <c r="G31" s="17" t="s">
        <v>1</v>
      </c>
      <c r="H31" s="54"/>
      <c r="I31" s="61">
        <f t="shared" ref="I31:O31" si="7">SUM(I23:I30)</f>
        <v>17473.513800000001</v>
      </c>
      <c r="J31" s="61">
        <f t="shared" si="7"/>
        <v>17300.513800000001</v>
      </c>
      <c r="K31" s="61">
        <f t="shared" si="7"/>
        <v>17603.513800000001</v>
      </c>
      <c r="L31" s="61"/>
      <c r="M31" s="61"/>
      <c r="N31" s="61"/>
      <c r="O31" s="61">
        <f t="shared" si="7"/>
        <v>52377.541400000002</v>
      </c>
      <c r="Q31" s="61">
        <f>SUM(Q23:Q30)</f>
        <v>0</v>
      </c>
      <c r="R31" s="61">
        <f>SUM(R23:R30)</f>
        <v>0</v>
      </c>
      <c r="S31" s="61">
        <f>SUM(S23:S30)</f>
        <v>0</v>
      </c>
      <c r="T31" s="61">
        <f>SUM(T23:T30)</f>
        <v>0</v>
      </c>
      <c r="U31" s="40"/>
      <c r="V31" s="17" t="s">
        <v>1</v>
      </c>
      <c r="W31" s="54"/>
      <c r="X31" s="61">
        <f t="shared" ref="X31:AD31" si="8">SUM(X23:X30)</f>
        <v>0</v>
      </c>
      <c r="Y31" s="61">
        <f t="shared" si="8"/>
        <v>0</v>
      </c>
      <c r="Z31" s="61">
        <f t="shared" si="8"/>
        <v>0</v>
      </c>
      <c r="AA31" s="61"/>
      <c r="AB31" s="61"/>
      <c r="AC31" s="61"/>
      <c r="AD31" s="61">
        <f t="shared" si="8"/>
        <v>0</v>
      </c>
    </row>
    <row r="32" spans="1:30" ht="12.95" customHeight="1" x14ac:dyDescent="0.2">
      <c r="A32" s="182"/>
      <c r="B32" s="182"/>
      <c r="C32" s="182"/>
      <c r="D32" s="182"/>
      <c r="E32" s="182"/>
      <c r="F32" s="45"/>
      <c r="G32" s="18"/>
      <c r="H32" s="45"/>
      <c r="I32" s="12"/>
      <c r="J32" s="12"/>
      <c r="K32" s="12"/>
      <c r="L32" s="12"/>
      <c r="M32" s="23"/>
      <c r="N32" s="23"/>
      <c r="O32" s="35"/>
    </row>
    <row r="33" spans="1:16" s="19" customFormat="1" ht="11.1" customHeight="1" x14ac:dyDescent="0.2">
      <c r="A33" s="182"/>
      <c r="B33" s="144"/>
      <c r="C33" s="144"/>
      <c r="D33" s="12"/>
      <c r="E33" s="144"/>
      <c r="F33" s="108"/>
      <c r="G33" s="183"/>
      <c r="H33" s="65"/>
      <c r="J33" s="12"/>
      <c r="K33" s="12"/>
      <c r="L33" s="12"/>
      <c r="M33" s="12"/>
      <c r="N33" s="12"/>
      <c r="O33" s="109"/>
    </row>
    <row r="34" spans="1:16" s="3" customFormat="1" ht="12" customHeight="1" x14ac:dyDescent="0.2">
      <c r="A34" s="2"/>
      <c r="B34" s="2"/>
      <c r="C34" s="2"/>
      <c r="D34" s="2"/>
      <c r="E34" s="2"/>
      <c r="F34" s="34"/>
      <c r="G34" s="1"/>
      <c r="H34" s="63"/>
      <c r="I34" s="34"/>
      <c r="J34" s="98"/>
      <c r="K34" s="99"/>
      <c r="L34" s="99"/>
      <c r="M34" s="143"/>
      <c r="N34" s="143"/>
      <c r="O34" s="100"/>
      <c r="P34" s="12" t="s">
        <v>227</v>
      </c>
    </row>
    <row r="35" spans="1:16" s="6" customFormat="1" ht="6.95" customHeight="1" x14ac:dyDescent="0.2">
      <c r="A35" s="5"/>
      <c r="B35" s="5"/>
      <c r="C35" s="5"/>
      <c r="D35" s="5"/>
      <c r="E35" s="5"/>
      <c r="F35" s="55"/>
      <c r="G35" s="4"/>
      <c r="H35" s="48"/>
      <c r="I35" s="55"/>
      <c r="J35" s="101"/>
      <c r="K35" s="101"/>
      <c r="L35" s="101"/>
      <c r="M35" s="55"/>
      <c r="N35" s="55"/>
      <c r="O35" s="102"/>
    </row>
    <row r="36" spans="1:16" ht="12.6" customHeight="1" x14ac:dyDescent="0.2">
      <c r="A36" s="192"/>
      <c r="B36" s="77">
        <v>2016</v>
      </c>
      <c r="C36" s="77">
        <v>2017</v>
      </c>
      <c r="D36" s="77">
        <v>2018</v>
      </c>
      <c r="E36" s="77">
        <f>E11</f>
        <v>2019</v>
      </c>
      <c r="F36" s="58"/>
      <c r="G36" s="42" t="s">
        <v>4</v>
      </c>
      <c r="H36" s="56"/>
      <c r="I36" s="237">
        <f t="shared" ref="I36:K36" si="9">I11</f>
        <v>2020</v>
      </c>
      <c r="J36" s="124">
        <f t="shared" si="9"/>
        <v>2021</v>
      </c>
      <c r="K36" s="124">
        <f t="shared" si="9"/>
        <v>2022</v>
      </c>
      <c r="L36" s="124"/>
      <c r="M36" s="124"/>
      <c r="N36" s="74"/>
      <c r="O36" s="42" t="s">
        <v>61</v>
      </c>
    </row>
    <row r="37" spans="1:16" s="37" customFormat="1" ht="12.6" customHeight="1" x14ac:dyDescent="0.2">
      <c r="A37" s="46"/>
      <c r="B37" s="76"/>
      <c r="C37" s="140"/>
      <c r="D37" s="140"/>
      <c r="E37" s="76" t="str">
        <f>+E2</f>
        <v>Stima</v>
      </c>
      <c r="F37" s="46"/>
      <c r="G37" s="236"/>
      <c r="H37" s="46"/>
      <c r="I37" s="265" t="s">
        <v>90</v>
      </c>
      <c r="J37" s="266"/>
      <c r="K37" s="266"/>
      <c r="L37" s="266"/>
      <c r="M37" s="266"/>
      <c r="N37" s="267"/>
      <c r="O37" s="139" t="s">
        <v>91</v>
      </c>
    </row>
    <row r="38" spans="1:16" s="19" customFormat="1" ht="11.1" customHeight="1" x14ac:dyDescent="0.2">
      <c r="A38" s="47"/>
      <c r="B38" s="13">
        <v>4293619.4800000004</v>
      </c>
      <c r="C38" s="13">
        <v>1306451.3500000001</v>
      </c>
      <c r="D38" s="13">
        <v>468294.01</v>
      </c>
      <c r="E38" s="13">
        <v>1800000</v>
      </c>
      <c r="F38" s="47"/>
      <c r="G38" s="64" t="s">
        <v>142</v>
      </c>
      <c r="H38" s="65"/>
      <c r="I38" s="32">
        <v>2200000</v>
      </c>
      <c r="J38" s="25">
        <v>2700000</v>
      </c>
      <c r="K38" s="25">
        <v>3500000</v>
      </c>
      <c r="L38" s="12"/>
      <c r="M38" s="12"/>
      <c r="N38" s="12"/>
      <c r="O38" s="107">
        <f>IF(I38+K38=0,"",((J38/I38-1)+(K38/J38-1))/3)</f>
        <v>0.1745230078563412</v>
      </c>
    </row>
    <row r="39" spans="1:16" s="19" customFormat="1" ht="11.1" customHeight="1" x14ac:dyDescent="0.2">
      <c r="A39" s="47"/>
      <c r="B39" s="13">
        <v>40493.65</v>
      </c>
      <c r="C39" s="13"/>
      <c r="D39" s="13">
        <v>100451.83</v>
      </c>
      <c r="E39" s="13">
        <v>100451.83</v>
      </c>
      <c r="F39" s="47"/>
      <c r="G39" s="64" t="s">
        <v>143</v>
      </c>
      <c r="H39" s="50"/>
      <c r="I39" s="13">
        <v>100451.83</v>
      </c>
      <c r="J39" s="13">
        <v>100451.83</v>
      </c>
      <c r="K39" s="13">
        <v>100451.83</v>
      </c>
      <c r="L39" s="12"/>
      <c r="M39" s="12"/>
      <c r="N39" s="12"/>
      <c r="O39" s="107">
        <f t="shared" ref="O39:O103" si="10">IF(I39+K39=0,"",((J39/I39-1)+(K39/J39-1))/3)</f>
        <v>0</v>
      </c>
    </row>
    <row r="40" spans="1:16" s="19" customFormat="1" ht="11.1" customHeight="1" x14ac:dyDescent="0.2">
      <c r="A40" s="47"/>
      <c r="B40" s="13">
        <v>128875.27</v>
      </c>
      <c r="C40" s="13">
        <v>72366.5</v>
      </c>
      <c r="D40" s="13">
        <v>119715.19</v>
      </c>
      <c r="E40" s="13">
        <v>119715.19</v>
      </c>
      <c r="F40" s="47"/>
      <c r="G40" s="11" t="s">
        <v>144</v>
      </c>
      <c r="H40" s="50"/>
      <c r="I40" s="13">
        <v>119715.19</v>
      </c>
      <c r="J40" s="13">
        <v>119715.19</v>
      </c>
      <c r="K40" s="13">
        <v>119715.19</v>
      </c>
      <c r="L40" s="12"/>
      <c r="M40" s="12"/>
      <c r="N40" s="12"/>
      <c r="O40" s="107">
        <f t="shared" si="10"/>
        <v>0</v>
      </c>
    </row>
    <row r="41" spans="1:16" s="19" customFormat="1" ht="11.1" customHeight="1" x14ac:dyDescent="0.2">
      <c r="A41" s="25"/>
      <c r="B41" s="13">
        <v>9020.92</v>
      </c>
      <c r="C41" s="13">
        <v>8273.64</v>
      </c>
      <c r="D41" s="13">
        <v>7134.06</v>
      </c>
      <c r="E41" s="13">
        <v>7134.06</v>
      </c>
      <c r="F41" s="25"/>
      <c r="G41" s="11" t="s">
        <v>145</v>
      </c>
      <c r="H41" s="50"/>
      <c r="I41" s="13">
        <v>7134.06</v>
      </c>
      <c r="J41" s="13">
        <v>7134.06</v>
      </c>
      <c r="K41" s="13">
        <v>7134.06</v>
      </c>
      <c r="L41" s="12"/>
      <c r="M41" s="12"/>
      <c r="N41" s="12"/>
      <c r="O41" s="107">
        <f t="shared" si="10"/>
        <v>0</v>
      </c>
    </row>
    <row r="42" spans="1:16" s="19" customFormat="1" ht="11.1" customHeight="1" x14ac:dyDescent="0.2">
      <c r="A42" s="25"/>
      <c r="B42" s="27"/>
      <c r="C42" s="13"/>
      <c r="D42" s="13"/>
      <c r="E42" s="13"/>
      <c r="F42" s="25"/>
      <c r="G42" s="11"/>
      <c r="H42" s="50"/>
      <c r="I42" s="13"/>
      <c r="J42" s="13"/>
      <c r="K42" s="13"/>
      <c r="L42" s="12"/>
      <c r="M42" s="12"/>
      <c r="N42" s="13"/>
      <c r="O42" s="107" t="str">
        <f t="shared" si="10"/>
        <v/>
      </c>
      <c r="P42" s="238"/>
    </row>
    <row r="43" spans="1:16" s="19" customFormat="1" ht="11.1" customHeight="1" x14ac:dyDescent="0.2">
      <c r="A43" s="25"/>
      <c r="B43" s="27"/>
      <c r="C43" s="13"/>
      <c r="D43" s="13"/>
      <c r="E43" s="13"/>
      <c r="F43" s="30"/>
      <c r="G43" s="38"/>
      <c r="H43" s="50"/>
      <c r="I43" s="13"/>
      <c r="J43" s="13"/>
      <c r="K43" s="13"/>
      <c r="L43" s="12"/>
      <c r="M43" s="12"/>
      <c r="N43" s="13"/>
      <c r="O43" s="107" t="str">
        <f t="shared" si="10"/>
        <v/>
      </c>
    </row>
    <row r="44" spans="1:16" s="19" customFormat="1" ht="12.6" customHeight="1" x14ac:dyDescent="0.2">
      <c r="A44" s="25"/>
      <c r="B44" s="227">
        <f>SUM(B38:B43)</f>
        <v>4472009.32</v>
      </c>
      <c r="C44" s="228">
        <f>SUM(C38:C43)</f>
        <v>1387091.49</v>
      </c>
      <c r="D44" s="228">
        <f>SUM(D38:D43)</f>
        <v>695595.09000000008</v>
      </c>
      <c r="E44" s="228">
        <f>SUM(E38:E43)</f>
        <v>2027301.08</v>
      </c>
      <c r="F44" s="30"/>
      <c r="G44" s="229" t="s">
        <v>5</v>
      </c>
      <c r="H44" s="50"/>
      <c r="I44" s="228">
        <f>SUM(I38:I43)</f>
        <v>2427301.08</v>
      </c>
      <c r="J44" s="228">
        <f t="shared" ref="J44:K44" si="11">SUM(J38:J43)</f>
        <v>2927301.08</v>
      </c>
      <c r="K44" s="228">
        <f t="shared" si="11"/>
        <v>3727301.08</v>
      </c>
      <c r="L44" s="230"/>
      <c r="M44" s="230"/>
      <c r="N44" s="228"/>
      <c r="O44" s="231">
        <f t="shared" si="10"/>
        <v>0.15975979389256692</v>
      </c>
    </row>
    <row r="45" spans="1:16" s="19" customFormat="1" ht="11.1" customHeight="1" x14ac:dyDescent="0.2">
      <c r="A45" s="25"/>
      <c r="B45" s="13">
        <v>7.33</v>
      </c>
      <c r="C45" s="13">
        <v>1.53</v>
      </c>
      <c r="D45" s="13">
        <v>18.62</v>
      </c>
      <c r="E45" s="13"/>
      <c r="F45" s="30"/>
      <c r="G45" s="11" t="s">
        <v>146</v>
      </c>
      <c r="H45" s="50"/>
      <c r="I45" s="13"/>
      <c r="J45" s="13"/>
      <c r="K45" s="13"/>
      <c r="L45" s="12"/>
      <c r="M45" s="12"/>
      <c r="N45" s="13"/>
      <c r="O45" s="107" t="str">
        <f t="shared" si="10"/>
        <v/>
      </c>
    </row>
    <row r="46" spans="1:16" s="19" customFormat="1" ht="11.1" customHeight="1" x14ac:dyDescent="0.2">
      <c r="A46" s="25"/>
      <c r="B46" s="13">
        <v>143704.82999999999</v>
      </c>
      <c r="C46" s="25">
        <v>52695</v>
      </c>
      <c r="D46" s="25">
        <v>23505.31</v>
      </c>
      <c r="E46" s="25">
        <v>10000</v>
      </c>
      <c r="F46" s="30"/>
      <c r="G46" s="11" t="s">
        <v>148</v>
      </c>
      <c r="H46" s="50"/>
      <c r="I46" s="25">
        <v>10000</v>
      </c>
      <c r="J46" s="25">
        <v>10000</v>
      </c>
      <c r="K46" s="25">
        <v>10000</v>
      </c>
      <c r="L46" s="12"/>
      <c r="M46" s="12"/>
      <c r="N46" s="13"/>
      <c r="O46" s="107">
        <f t="shared" si="10"/>
        <v>0</v>
      </c>
      <c r="P46" s="247"/>
    </row>
    <row r="47" spans="1:16" s="19" customFormat="1" ht="11.1" customHeight="1" x14ac:dyDescent="0.2">
      <c r="A47" s="25"/>
      <c r="B47" s="13"/>
      <c r="C47" s="13"/>
      <c r="D47" s="13"/>
      <c r="E47" s="13"/>
      <c r="F47" s="30"/>
      <c r="G47" s="27" t="s">
        <v>149</v>
      </c>
      <c r="H47" s="50"/>
      <c r="I47" s="13"/>
      <c r="J47" s="13"/>
      <c r="K47" s="13"/>
      <c r="L47" s="12"/>
      <c r="M47" s="12"/>
      <c r="N47" s="13"/>
      <c r="O47" s="107" t="str">
        <f t="shared" si="10"/>
        <v/>
      </c>
    </row>
    <row r="48" spans="1:16" s="19" customFormat="1" ht="11.1" customHeight="1" x14ac:dyDescent="0.2">
      <c r="A48" s="25"/>
      <c r="B48" s="13">
        <v>28.19</v>
      </c>
      <c r="C48" s="13">
        <v>13.71</v>
      </c>
      <c r="D48" s="13">
        <v>10.76</v>
      </c>
      <c r="E48" s="13">
        <v>10.76</v>
      </c>
      <c r="F48" s="30"/>
      <c r="G48" s="11" t="s">
        <v>147</v>
      </c>
      <c r="H48" s="50"/>
      <c r="I48" s="13">
        <v>10.76</v>
      </c>
      <c r="J48" s="13">
        <v>10.76</v>
      </c>
      <c r="K48" s="13">
        <v>10.76</v>
      </c>
      <c r="L48" s="12"/>
      <c r="M48" s="12"/>
      <c r="N48" s="13"/>
      <c r="O48" s="107">
        <f t="shared" si="10"/>
        <v>0</v>
      </c>
    </row>
    <row r="49" spans="1:15" s="19" customFormat="1" ht="11.1" customHeight="1" x14ac:dyDescent="0.2">
      <c r="A49" s="25"/>
      <c r="B49" s="27"/>
      <c r="C49" s="13"/>
      <c r="D49" s="13">
        <v>5564.16</v>
      </c>
      <c r="E49" s="13">
        <v>5564.16</v>
      </c>
      <c r="F49" s="30"/>
      <c r="G49" s="27" t="s">
        <v>209</v>
      </c>
      <c r="H49" s="50"/>
      <c r="I49" s="13">
        <v>5564.16</v>
      </c>
      <c r="J49" s="13">
        <v>5564.16</v>
      </c>
      <c r="K49" s="13">
        <v>5564.16</v>
      </c>
      <c r="L49" s="12"/>
      <c r="M49" s="12"/>
      <c r="N49" s="13"/>
      <c r="O49" s="107">
        <f t="shared" si="10"/>
        <v>0</v>
      </c>
    </row>
    <row r="50" spans="1:15" s="19" customFormat="1" ht="12.6" customHeight="1" x14ac:dyDescent="0.2">
      <c r="A50" s="25"/>
      <c r="B50" s="227">
        <f>SUM(B45:B49)</f>
        <v>143740.34999999998</v>
      </c>
      <c r="C50" s="228">
        <f>SUM(C45:C49)</f>
        <v>52710.239999999998</v>
      </c>
      <c r="D50" s="228">
        <f>SUM(D45:D49)</f>
        <v>29098.85</v>
      </c>
      <c r="E50" s="228">
        <f>SUM(E45:E49)</f>
        <v>15574.92</v>
      </c>
      <c r="F50" s="30"/>
      <c r="G50" s="229" t="s">
        <v>72</v>
      </c>
      <c r="H50" s="50"/>
      <c r="I50" s="228">
        <f>SUM(I45:I49)</f>
        <v>15574.92</v>
      </c>
      <c r="J50" s="228">
        <f t="shared" ref="J50:K50" si="12">SUM(J45:J49)</f>
        <v>15574.92</v>
      </c>
      <c r="K50" s="228">
        <f t="shared" si="12"/>
        <v>15574.92</v>
      </c>
      <c r="L50" s="230"/>
      <c r="M50" s="230"/>
      <c r="N50" s="228"/>
      <c r="O50" s="231">
        <f t="shared" si="10"/>
        <v>0</v>
      </c>
    </row>
    <row r="51" spans="1:15" ht="12.6" customHeight="1" x14ac:dyDescent="0.2">
      <c r="A51" s="25"/>
      <c r="B51" s="29">
        <f>+B44+B50</f>
        <v>4615749.67</v>
      </c>
      <c r="C51" s="29">
        <f>+C44+C50</f>
        <v>1439801.73</v>
      </c>
      <c r="D51" s="29">
        <f>+D44+D50</f>
        <v>724693.94000000006</v>
      </c>
      <c r="E51" s="29">
        <f>+E44+E50</f>
        <v>2042876</v>
      </c>
      <c r="F51" s="30"/>
      <c r="G51" s="21" t="s">
        <v>6</v>
      </c>
      <c r="H51" s="50"/>
      <c r="I51" s="29">
        <f>+I44+I50</f>
        <v>2442876</v>
      </c>
      <c r="J51" s="29">
        <f t="shared" ref="J51:K51" si="13">+J44+J50</f>
        <v>2942876</v>
      </c>
      <c r="K51" s="29">
        <f t="shared" si="13"/>
        <v>3742876</v>
      </c>
      <c r="L51" s="134"/>
      <c r="M51" s="134"/>
      <c r="N51" s="135"/>
      <c r="O51" s="248">
        <f t="shared" si="10"/>
        <v>0.15883990030002226</v>
      </c>
    </row>
    <row r="52" spans="1:15" ht="11.1" customHeight="1" x14ac:dyDescent="0.2">
      <c r="A52" s="25"/>
      <c r="B52" s="13">
        <v>-3311.12</v>
      </c>
      <c r="C52" s="13">
        <v>-5056.53</v>
      </c>
      <c r="D52" s="13">
        <v>-5460.82</v>
      </c>
      <c r="E52" s="13">
        <v>-5460.82</v>
      </c>
      <c r="F52" s="30"/>
      <c r="G52" s="240" t="s">
        <v>164</v>
      </c>
      <c r="H52" s="50"/>
      <c r="I52" s="13">
        <v>-5460.82</v>
      </c>
      <c r="J52" s="13">
        <v>-5460.82</v>
      </c>
      <c r="K52" s="13">
        <v>-5460.82</v>
      </c>
      <c r="L52" s="12"/>
      <c r="M52" s="12"/>
      <c r="N52" s="13"/>
      <c r="O52" s="107">
        <f t="shared" si="10"/>
        <v>0</v>
      </c>
    </row>
    <row r="53" spans="1:15" ht="11.1" customHeight="1" x14ac:dyDescent="0.2">
      <c r="A53" s="25"/>
      <c r="B53" s="13">
        <v>-23291.24</v>
      </c>
      <c r="C53" s="13">
        <v>-27025.57</v>
      </c>
      <c r="D53" s="13">
        <f>-37271.9-17356.18</f>
        <v>-54628.08</v>
      </c>
      <c r="E53" s="13">
        <f>-37271.9-17356.18</f>
        <v>-54628.08</v>
      </c>
      <c r="F53" s="30"/>
      <c r="G53" s="241" t="s">
        <v>165</v>
      </c>
      <c r="H53" s="50"/>
      <c r="I53" s="13">
        <f>-37271.9-17356.18</f>
        <v>-54628.08</v>
      </c>
      <c r="J53" s="13">
        <f>-37271.9-17356.18</f>
        <v>-54628.08</v>
      </c>
      <c r="K53" s="13">
        <f>-37271.9-17356.18</f>
        <v>-54628.08</v>
      </c>
      <c r="L53" s="12"/>
      <c r="M53" s="12"/>
      <c r="N53" s="13"/>
      <c r="O53" s="107">
        <f t="shared" si="10"/>
        <v>0</v>
      </c>
    </row>
    <row r="54" spans="1:15" ht="11.1" customHeight="1" x14ac:dyDescent="0.2">
      <c r="A54" s="25"/>
      <c r="B54" s="13">
        <v>-2244.36</v>
      </c>
      <c r="C54" s="13">
        <v>-1088.26</v>
      </c>
      <c r="D54" s="13">
        <v>-510.05</v>
      </c>
      <c r="E54" s="13">
        <v>-510.05</v>
      </c>
      <c r="F54" s="30"/>
      <c r="G54" s="241" t="s">
        <v>166</v>
      </c>
      <c r="H54" s="50"/>
      <c r="I54" s="13">
        <v>-510.05</v>
      </c>
      <c r="J54" s="13">
        <v>-510.05</v>
      </c>
      <c r="K54" s="13">
        <v>-510.05</v>
      </c>
      <c r="L54" s="12"/>
      <c r="M54" s="12"/>
      <c r="N54" s="13"/>
      <c r="O54" s="107">
        <f t="shared" si="10"/>
        <v>0</v>
      </c>
    </row>
    <row r="55" spans="1:15" ht="11.1" customHeight="1" x14ac:dyDescent="0.2">
      <c r="A55" s="25"/>
      <c r="B55" s="13">
        <v>-8243.44</v>
      </c>
      <c r="C55" s="13">
        <v>-7890.12</v>
      </c>
      <c r="D55" s="13">
        <v>-2484.7600000000002</v>
      </c>
      <c r="E55" s="13">
        <v>-2484.7600000000002</v>
      </c>
      <c r="F55" s="30"/>
      <c r="G55" s="241" t="s">
        <v>150</v>
      </c>
      <c r="H55" s="50"/>
      <c r="I55" s="13">
        <v>-2484.7600000000002</v>
      </c>
      <c r="J55" s="13">
        <v>-2484.7600000000002</v>
      </c>
      <c r="K55" s="13">
        <v>-2484.7600000000002</v>
      </c>
      <c r="L55" s="12"/>
      <c r="M55" s="12"/>
      <c r="N55" s="13"/>
      <c r="O55" s="107">
        <f t="shared" si="10"/>
        <v>0</v>
      </c>
    </row>
    <row r="56" spans="1:15" ht="11.1" customHeight="1" x14ac:dyDescent="0.2">
      <c r="A56" s="25"/>
      <c r="B56" s="13">
        <v>-4294.6099999999997</v>
      </c>
      <c r="C56" s="13">
        <v>-6954.55</v>
      </c>
      <c r="D56" s="13">
        <v>-21889.57</v>
      </c>
      <c r="E56" s="13">
        <v>-21889.57</v>
      </c>
      <c r="F56" s="30"/>
      <c r="G56" s="241" t="s">
        <v>167</v>
      </c>
      <c r="H56" s="50"/>
      <c r="I56" s="13">
        <v>-21889.57</v>
      </c>
      <c r="J56" s="13">
        <v>-21889.57</v>
      </c>
      <c r="K56" s="13">
        <v>-21889.57</v>
      </c>
      <c r="L56" s="12"/>
      <c r="M56" s="12"/>
      <c r="N56" s="13"/>
      <c r="O56" s="107">
        <f t="shared" si="10"/>
        <v>0</v>
      </c>
    </row>
    <row r="57" spans="1:15" ht="11.1" customHeight="1" x14ac:dyDescent="0.2">
      <c r="A57" s="25"/>
      <c r="B57" s="242"/>
      <c r="C57" s="13"/>
      <c r="D57" s="13"/>
      <c r="E57" s="13"/>
      <c r="F57" s="30"/>
      <c r="G57" s="241"/>
      <c r="H57" s="50"/>
      <c r="I57" s="13"/>
      <c r="J57" s="13"/>
      <c r="K57" s="13"/>
      <c r="L57" s="12"/>
      <c r="M57" s="12"/>
      <c r="N57" s="13"/>
      <c r="O57" s="107" t="str">
        <f t="shared" si="10"/>
        <v/>
      </c>
    </row>
    <row r="58" spans="1:15" ht="11.1" customHeight="1" x14ac:dyDescent="0.2">
      <c r="A58" s="25"/>
      <c r="B58" s="27"/>
      <c r="C58" s="13"/>
      <c r="D58" s="13"/>
      <c r="E58" s="13"/>
      <c r="F58" s="30"/>
      <c r="G58" s="72"/>
      <c r="H58" s="50"/>
      <c r="I58" s="13"/>
      <c r="J58" s="13"/>
      <c r="K58" s="13"/>
      <c r="L58" s="12"/>
      <c r="M58" s="12"/>
      <c r="N58" s="13"/>
      <c r="O58" s="107" t="str">
        <f t="shared" si="10"/>
        <v/>
      </c>
    </row>
    <row r="59" spans="1:15" ht="11.1" customHeight="1" x14ac:dyDescent="0.2">
      <c r="A59" s="25"/>
      <c r="B59" s="27"/>
      <c r="C59" s="13"/>
      <c r="D59" s="13"/>
      <c r="E59" s="13"/>
      <c r="F59" s="69"/>
      <c r="G59" s="72"/>
      <c r="H59" s="50"/>
      <c r="I59" s="13"/>
      <c r="J59" s="13"/>
      <c r="K59" s="13"/>
      <c r="L59" s="12"/>
      <c r="M59" s="12"/>
      <c r="N59" s="13"/>
      <c r="O59" s="107" t="str">
        <f t="shared" si="10"/>
        <v/>
      </c>
    </row>
    <row r="60" spans="1:15" ht="11.1" customHeight="1" x14ac:dyDescent="0.2">
      <c r="A60" s="97"/>
      <c r="B60" s="232">
        <f>SUBTOTAL(9,B52:B59)</f>
        <v>-41384.770000000004</v>
      </c>
      <c r="C60" s="233">
        <f>SUBTOTAL(9,C52:C59)</f>
        <v>-48015.030000000006</v>
      </c>
      <c r="D60" s="233">
        <f>SUBTOTAL(9,D52:D59)</f>
        <v>-84973.28</v>
      </c>
      <c r="E60" s="233">
        <f>SUBTOTAL(9,E52:E59)</f>
        <v>-84973.28</v>
      </c>
      <c r="F60" s="70"/>
      <c r="G60" s="234" t="s">
        <v>7</v>
      </c>
      <c r="H60" s="71"/>
      <c r="I60" s="233">
        <f>SUBTOTAL(9,I52:I59)</f>
        <v>-84973.28</v>
      </c>
      <c r="J60" s="233">
        <f t="shared" ref="J60:K60" si="14">SUBTOTAL(9,J52:J59)</f>
        <v>-84973.28</v>
      </c>
      <c r="K60" s="233">
        <f t="shared" si="14"/>
        <v>-84973.28</v>
      </c>
      <c r="L60" s="235"/>
      <c r="M60" s="235"/>
      <c r="N60" s="233"/>
      <c r="O60" s="250">
        <f t="shared" si="10"/>
        <v>0</v>
      </c>
    </row>
    <row r="61" spans="1:15" ht="11.1" customHeight="1" x14ac:dyDescent="0.2">
      <c r="A61" s="25"/>
      <c r="B61" s="13">
        <v>-299068.21999999997</v>
      </c>
      <c r="C61" s="13">
        <v>-300500.15999999997</v>
      </c>
      <c r="D61" s="13">
        <v>-403767</v>
      </c>
      <c r="E61" s="13">
        <v>-403767</v>
      </c>
      <c r="F61" s="30"/>
      <c r="G61" s="239" t="s">
        <v>151</v>
      </c>
      <c r="H61" s="64"/>
      <c r="I61" s="13">
        <v>-403767</v>
      </c>
      <c r="J61" s="13">
        <v>-403767</v>
      </c>
      <c r="K61" s="13">
        <v>-403767</v>
      </c>
      <c r="L61" s="12"/>
      <c r="M61" s="12"/>
      <c r="N61" s="13"/>
      <c r="O61" s="107">
        <f t="shared" si="10"/>
        <v>0</v>
      </c>
    </row>
    <row r="62" spans="1:15" ht="11.1" customHeight="1" x14ac:dyDescent="0.2">
      <c r="A62" s="25"/>
      <c r="B62" s="13"/>
      <c r="C62" s="13"/>
      <c r="D62" s="13">
        <v>-1119.23</v>
      </c>
      <c r="E62" s="13">
        <v>-1119.23</v>
      </c>
      <c r="F62" s="30"/>
      <c r="G62" s="239" t="s">
        <v>152</v>
      </c>
      <c r="H62" s="64"/>
      <c r="I62" s="13">
        <v>-1119.23</v>
      </c>
      <c r="J62" s="13">
        <v>-1119.23</v>
      </c>
      <c r="K62" s="13">
        <v>-1119.23</v>
      </c>
      <c r="L62" s="12"/>
      <c r="M62" s="12"/>
      <c r="N62" s="13"/>
      <c r="O62" s="107">
        <f t="shared" si="10"/>
        <v>0</v>
      </c>
    </row>
    <row r="63" spans="1:15" ht="11.1" customHeight="1" x14ac:dyDescent="0.2">
      <c r="A63" s="25"/>
      <c r="B63" s="13">
        <v>-3637.32</v>
      </c>
      <c r="C63" s="13">
        <v>-8925.89</v>
      </c>
      <c r="D63" s="13">
        <v>-4728.75</v>
      </c>
      <c r="E63" s="13">
        <v>-4728.75</v>
      </c>
      <c r="F63" s="30"/>
      <c r="G63" s="239" t="s">
        <v>153</v>
      </c>
      <c r="H63" s="64"/>
      <c r="I63" s="13">
        <v>-4728.75</v>
      </c>
      <c r="J63" s="13">
        <v>-4728.75</v>
      </c>
      <c r="K63" s="13">
        <v>-4728.75</v>
      </c>
      <c r="L63" s="12"/>
      <c r="M63" s="12"/>
      <c r="N63" s="13"/>
      <c r="O63" s="107">
        <f t="shared" si="10"/>
        <v>0</v>
      </c>
    </row>
    <row r="64" spans="1:15" ht="11.1" customHeight="1" x14ac:dyDescent="0.2">
      <c r="A64" s="25"/>
      <c r="B64" s="13">
        <v>-7364.2</v>
      </c>
      <c r="C64" s="13">
        <v>-3250.25</v>
      </c>
      <c r="D64" s="13">
        <v>-96</v>
      </c>
      <c r="E64" s="13">
        <v>-96</v>
      </c>
      <c r="F64" s="30"/>
      <c r="G64" s="239" t="s">
        <v>154</v>
      </c>
      <c r="H64" s="64"/>
      <c r="I64" s="13">
        <v>-96</v>
      </c>
      <c r="J64" s="13">
        <v>-96</v>
      </c>
      <c r="K64" s="13">
        <v>-96</v>
      </c>
      <c r="L64" s="12"/>
      <c r="M64" s="12"/>
      <c r="N64" s="13"/>
      <c r="O64" s="107">
        <f t="shared" si="10"/>
        <v>0</v>
      </c>
    </row>
    <row r="65" spans="1:15" ht="11.1" customHeight="1" x14ac:dyDescent="0.2">
      <c r="A65" s="25"/>
      <c r="B65" s="13">
        <v>-517.67999999999995</v>
      </c>
      <c r="C65" s="13">
        <v>-2712.8</v>
      </c>
      <c r="D65" s="13">
        <v>-2466.17</v>
      </c>
      <c r="E65" s="13">
        <v>-2466.17</v>
      </c>
      <c r="F65" s="30"/>
      <c r="G65" s="239" t="s">
        <v>155</v>
      </c>
      <c r="H65" s="64"/>
      <c r="I65" s="13">
        <v>-2466.17</v>
      </c>
      <c r="J65" s="13">
        <v>-2466.17</v>
      </c>
      <c r="K65" s="13">
        <v>-2466.17</v>
      </c>
      <c r="L65" s="12"/>
      <c r="M65" s="12"/>
      <c r="N65" s="13"/>
      <c r="O65" s="107">
        <f t="shared" si="10"/>
        <v>0</v>
      </c>
    </row>
    <row r="66" spans="1:15" ht="11.1" customHeight="1" x14ac:dyDescent="0.2">
      <c r="A66" s="25"/>
      <c r="B66" s="13">
        <v>-11679.35</v>
      </c>
      <c r="C66" s="13">
        <v>-24488.2</v>
      </c>
      <c r="D66" s="13">
        <v>-12807.25</v>
      </c>
      <c r="E66" s="13">
        <v>-12807.25</v>
      </c>
      <c r="F66" s="30"/>
      <c r="G66" s="239" t="s">
        <v>156</v>
      </c>
      <c r="H66" s="64"/>
      <c r="I66" s="13">
        <v>-12807.25</v>
      </c>
      <c r="J66" s="13">
        <v>-12807.25</v>
      </c>
      <c r="K66" s="13">
        <v>-12807.25</v>
      </c>
      <c r="L66" s="12"/>
      <c r="M66" s="12"/>
      <c r="N66" s="13"/>
      <c r="O66" s="107">
        <f t="shared" si="10"/>
        <v>0</v>
      </c>
    </row>
    <row r="67" spans="1:15" ht="11.1" customHeight="1" x14ac:dyDescent="0.2">
      <c r="A67" s="25"/>
      <c r="B67" s="13"/>
      <c r="C67" s="13"/>
      <c r="D67" s="13"/>
      <c r="E67" s="13"/>
      <c r="F67" s="30"/>
      <c r="G67" s="239" t="s">
        <v>161</v>
      </c>
      <c r="H67" s="64"/>
      <c r="I67" s="13"/>
      <c r="J67" s="13"/>
      <c r="K67" s="13"/>
      <c r="L67" s="12"/>
      <c r="M67" s="12"/>
      <c r="N67" s="13"/>
      <c r="O67" s="107" t="str">
        <f t="shared" si="10"/>
        <v/>
      </c>
    </row>
    <row r="68" spans="1:15" ht="11.1" customHeight="1" x14ac:dyDescent="0.2">
      <c r="A68" s="25"/>
      <c r="B68" s="13">
        <v>-2748.61</v>
      </c>
      <c r="C68" s="13">
        <v>-4507.6099999999997</v>
      </c>
      <c r="D68" s="13">
        <v>-8070.77</v>
      </c>
      <c r="E68" s="13">
        <v>-8070.77</v>
      </c>
      <c r="F68" s="30"/>
      <c r="G68" s="239" t="s">
        <v>162</v>
      </c>
      <c r="H68" s="64"/>
      <c r="I68" s="13">
        <v>-8070.77</v>
      </c>
      <c r="J68" s="13">
        <v>-8070.77</v>
      </c>
      <c r="K68" s="13">
        <v>-8070.77</v>
      </c>
      <c r="L68" s="12"/>
      <c r="M68" s="12"/>
      <c r="N68" s="13"/>
      <c r="O68" s="107">
        <f t="shared" si="10"/>
        <v>0</v>
      </c>
    </row>
    <row r="69" spans="1:15" ht="11.1" customHeight="1" x14ac:dyDescent="0.2">
      <c r="A69" s="25"/>
      <c r="B69" s="13">
        <v>-50430.21</v>
      </c>
      <c r="C69" s="25">
        <v>-39783.43</v>
      </c>
      <c r="D69" s="25">
        <f>-80987.9-962.73-992.03-1093.99-5129.48</f>
        <v>-89166.12999999999</v>
      </c>
      <c r="E69" s="25">
        <f>-80987.9-962.73-992.03-1093.99-5129.48</f>
        <v>-89166.12999999999</v>
      </c>
      <c r="F69" s="30"/>
      <c r="G69" s="239" t="s">
        <v>168</v>
      </c>
      <c r="H69" s="64"/>
      <c r="I69" s="25">
        <f>-80987.9-962.73-992.03-1093.99-5129.48</f>
        <v>-89166.12999999999</v>
      </c>
      <c r="J69" s="25">
        <f>-80987.9-962.73-992.03-1093.99-5129.48</f>
        <v>-89166.12999999999</v>
      </c>
      <c r="K69" s="25">
        <f>-80987.9-962.73-992.03-1093.99-5129.48</f>
        <v>-89166.12999999999</v>
      </c>
      <c r="L69" s="12"/>
      <c r="M69" s="12"/>
      <c r="N69" s="13"/>
      <c r="O69" s="107">
        <f t="shared" si="10"/>
        <v>0</v>
      </c>
    </row>
    <row r="70" spans="1:15" ht="11.1" customHeight="1" x14ac:dyDescent="0.2">
      <c r="A70" s="25"/>
      <c r="B70" s="13"/>
      <c r="C70" s="13"/>
      <c r="D70" s="13"/>
      <c r="E70" s="13"/>
      <c r="F70" s="30"/>
      <c r="G70" s="239" t="s">
        <v>163</v>
      </c>
      <c r="H70" s="64"/>
      <c r="I70" s="13"/>
      <c r="J70" s="13"/>
      <c r="K70" s="13"/>
      <c r="L70" s="12"/>
      <c r="M70" s="12"/>
      <c r="N70" s="13"/>
      <c r="O70" s="107" t="str">
        <f t="shared" si="10"/>
        <v/>
      </c>
    </row>
    <row r="71" spans="1:15" ht="11.1" customHeight="1" x14ac:dyDescent="0.2">
      <c r="A71" s="25"/>
      <c r="B71" s="13">
        <v>-13268.35</v>
      </c>
      <c r="C71" s="13">
        <v>-15112.57</v>
      </c>
      <c r="D71" s="13">
        <v>-16308.44</v>
      </c>
      <c r="E71" s="13">
        <v>-16308.44</v>
      </c>
      <c r="F71" s="30"/>
      <c r="G71" s="239" t="s">
        <v>169</v>
      </c>
      <c r="H71" s="64"/>
      <c r="I71" s="13">
        <v>-16308.44</v>
      </c>
      <c r="J71" s="13">
        <v>-16308.44</v>
      </c>
      <c r="K71" s="13">
        <v>-16308.44</v>
      </c>
      <c r="L71" s="12"/>
      <c r="M71" s="12"/>
      <c r="N71" s="13"/>
      <c r="O71" s="107">
        <f t="shared" si="10"/>
        <v>0</v>
      </c>
    </row>
    <row r="72" spans="1:15" ht="11.1" customHeight="1" x14ac:dyDescent="0.2">
      <c r="A72" s="25"/>
      <c r="B72" s="13">
        <v>-11821.63</v>
      </c>
      <c r="C72" s="13">
        <v>-4236.37</v>
      </c>
      <c r="D72" s="13">
        <v>-10285.08</v>
      </c>
      <c r="E72" s="13">
        <v>-10285.08</v>
      </c>
      <c r="F72" s="30"/>
      <c r="G72" s="239" t="s">
        <v>170</v>
      </c>
      <c r="H72" s="64"/>
      <c r="I72" s="13">
        <v>-10285.08</v>
      </c>
      <c r="J72" s="13">
        <v>-10285.08</v>
      </c>
      <c r="K72" s="13">
        <v>-10285.08</v>
      </c>
      <c r="L72" s="12"/>
      <c r="M72" s="12"/>
      <c r="N72" s="13"/>
      <c r="O72" s="107">
        <f t="shared" si="10"/>
        <v>0</v>
      </c>
    </row>
    <row r="73" spans="1:15" ht="11.1" customHeight="1" x14ac:dyDescent="0.2">
      <c r="A73" s="25"/>
      <c r="B73" s="13">
        <v>-1198.58</v>
      </c>
      <c r="C73" s="13">
        <v>-960.72</v>
      </c>
      <c r="D73" s="13">
        <v>-128.22</v>
      </c>
      <c r="E73" s="13">
        <v>-128.22</v>
      </c>
      <c r="F73" s="30"/>
      <c r="G73" s="239" t="s">
        <v>171</v>
      </c>
      <c r="H73" s="64"/>
      <c r="I73" s="13">
        <v>-128.22</v>
      </c>
      <c r="J73" s="13">
        <v>-128.22</v>
      </c>
      <c r="K73" s="13">
        <v>-128.22</v>
      </c>
      <c r="L73" s="12"/>
      <c r="M73" s="12"/>
      <c r="N73" s="13"/>
      <c r="O73" s="107">
        <f t="shared" si="10"/>
        <v>0</v>
      </c>
    </row>
    <row r="74" spans="1:15" ht="11.1" customHeight="1" x14ac:dyDescent="0.2">
      <c r="A74" s="25"/>
      <c r="B74" s="13"/>
      <c r="C74" s="13"/>
      <c r="D74" s="13">
        <v>-4925.75</v>
      </c>
      <c r="E74" s="13">
        <v>-4925.75</v>
      </c>
      <c r="F74" s="30"/>
      <c r="G74" s="239" t="s">
        <v>210</v>
      </c>
      <c r="H74" s="64"/>
      <c r="I74" s="13">
        <v>-4925.75</v>
      </c>
      <c r="J74" s="13">
        <v>-4925.75</v>
      </c>
      <c r="K74" s="13">
        <v>-4925.75</v>
      </c>
      <c r="L74" s="12"/>
      <c r="M74" s="12"/>
      <c r="N74" s="13"/>
      <c r="O74" s="107"/>
    </row>
    <row r="75" spans="1:15" ht="11.1" customHeight="1" x14ac:dyDescent="0.2">
      <c r="A75" s="25"/>
      <c r="B75" s="13">
        <v>-4757.67</v>
      </c>
      <c r="C75" s="13">
        <v>-1811.6</v>
      </c>
      <c r="D75" s="13">
        <v>-3790.8</v>
      </c>
      <c r="E75" s="13">
        <v>-3790.8</v>
      </c>
      <c r="F75" s="30"/>
      <c r="G75" s="239" t="s">
        <v>172</v>
      </c>
      <c r="H75" s="64"/>
      <c r="I75" s="13">
        <v>-3790.8</v>
      </c>
      <c r="J75" s="13">
        <v>-3790.8</v>
      </c>
      <c r="K75" s="13">
        <v>-3790.8</v>
      </c>
      <c r="L75" s="12"/>
      <c r="M75" s="12"/>
      <c r="N75" s="13"/>
      <c r="O75" s="107">
        <f t="shared" si="10"/>
        <v>0</v>
      </c>
    </row>
    <row r="76" spans="1:15" ht="11.1" customHeight="1" x14ac:dyDescent="0.2">
      <c r="A76" s="25"/>
      <c r="B76" s="13"/>
      <c r="C76" s="13"/>
      <c r="D76" s="13">
        <v>-1906.71</v>
      </c>
      <c r="E76" s="13">
        <v>-1906.71</v>
      </c>
      <c r="F76" s="30"/>
      <c r="G76" s="239" t="s">
        <v>173</v>
      </c>
      <c r="H76" s="64"/>
      <c r="I76" s="13">
        <v>-1906.71</v>
      </c>
      <c r="J76" s="13">
        <v>-1906.71</v>
      </c>
      <c r="K76" s="13">
        <v>-1906.71</v>
      </c>
      <c r="L76" s="12"/>
      <c r="M76" s="12"/>
      <c r="N76" s="13"/>
      <c r="O76" s="107">
        <f t="shared" si="10"/>
        <v>0</v>
      </c>
    </row>
    <row r="77" spans="1:15" ht="11.1" customHeight="1" x14ac:dyDescent="0.2">
      <c r="A77" s="25"/>
      <c r="B77" s="13"/>
      <c r="C77" s="13"/>
      <c r="D77" s="13">
        <v>-1627.96</v>
      </c>
      <c r="E77" s="13">
        <v>-1627.96</v>
      </c>
      <c r="F77" s="30"/>
      <c r="G77" s="239" t="s">
        <v>174</v>
      </c>
      <c r="H77" s="64"/>
      <c r="I77" s="13">
        <v>-1627.96</v>
      </c>
      <c r="J77" s="13">
        <v>-1627.96</v>
      </c>
      <c r="K77" s="13">
        <v>-1627.96</v>
      </c>
      <c r="L77" s="12"/>
      <c r="M77" s="12"/>
      <c r="N77" s="13"/>
      <c r="O77" s="107">
        <f t="shared" si="10"/>
        <v>0</v>
      </c>
    </row>
    <row r="78" spans="1:15" ht="11.1" customHeight="1" x14ac:dyDescent="0.2">
      <c r="A78" s="25"/>
      <c r="B78" s="13">
        <v>-66869.34</v>
      </c>
      <c r="C78" s="13">
        <v>-77354.03</v>
      </c>
      <c r="D78" s="13">
        <v>-76363.69</v>
      </c>
      <c r="E78" s="13">
        <v>-76363.69</v>
      </c>
      <c r="F78" s="30"/>
      <c r="G78" s="103" t="s">
        <v>175</v>
      </c>
      <c r="H78" s="64"/>
      <c r="I78" s="13">
        <v>-76363.69</v>
      </c>
      <c r="J78" s="13">
        <v>-76363.69</v>
      </c>
      <c r="K78" s="13">
        <v>-76363.69</v>
      </c>
      <c r="L78" s="23"/>
      <c r="M78" s="23"/>
      <c r="N78" s="25"/>
      <c r="O78" s="107">
        <f t="shared" si="10"/>
        <v>0</v>
      </c>
    </row>
    <row r="79" spans="1:15" ht="11.1" customHeight="1" x14ac:dyDescent="0.2">
      <c r="A79" s="25"/>
      <c r="B79" s="13"/>
      <c r="C79" s="13"/>
      <c r="D79" s="13"/>
      <c r="E79" s="13"/>
      <c r="F79" s="30"/>
      <c r="G79" s="252" t="s">
        <v>176</v>
      </c>
      <c r="H79" s="64"/>
      <c r="I79" s="13"/>
      <c r="J79" s="13"/>
      <c r="K79" s="13"/>
      <c r="L79" s="23"/>
      <c r="M79" s="23"/>
      <c r="N79" s="25"/>
      <c r="O79" s="107" t="str">
        <f t="shared" si="10"/>
        <v/>
      </c>
    </row>
    <row r="80" spans="1:15" ht="11.1" customHeight="1" x14ac:dyDescent="0.2">
      <c r="A80" s="25"/>
      <c r="B80" s="13">
        <v>-13446.64</v>
      </c>
      <c r="C80" s="13">
        <v>-6940.03</v>
      </c>
      <c r="D80" s="13">
        <v>-3222.64</v>
      </c>
      <c r="E80" s="13">
        <v>-3222.64</v>
      </c>
      <c r="F80" s="30"/>
      <c r="G80" s="239" t="s">
        <v>177</v>
      </c>
      <c r="H80" s="64"/>
      <c r="I80" s="13">
        <v>-3222.64</v>
      </c>
      <c r="J80" s="13">
        <v>-3222.64</v>
      </c>
      <c r="K80" s="13">
        <v>-3222.64</v>
      </c>
      <c r="L80" s="12"/>
      <c r="M80" s="12"/>
      <c r="N80" s="13"/>
      <c r="O80" s="107">
        <f t="shared" si="10"/>
        <v>0</v>
      </c>
    </row>
    <row r="81" spans="1:15" ht="11.1" customHeight="1" x14ac:dyDescent="0.2">
      <c r="A81" s="25"/>
      <c r="B81" s="13">
        <v>-8643.23</v>
      </c>
      <c r="C81" s="13">
        <v>-21381.16</v>
      </c>
      <c r="D81" s="13"/>
      <c r="E81" s="13"/>
      <c r="F81" s="30"/>
      <c r="G81" s="239" t="s">
        <v>178</v>
      </c>
      <c r="H81" s="64"/>
      <c r="I81" s="13"/>
      <c r="J81" s="13"/>
      <c r="K81" s="13"/>
      <c r="L81" s="12"/>
      <c r="M81" s="12"/>
      <c r="N81" s="13"/>
      <c r="O81" s="107" t="str">
        <f t="shared" si="10"/>
        <v/>
      </c>
    </row>
    <row r="82" spans="1:15" ht="11.1" customHeight="1" x14ac:dyDescent="0.2">
      <c r="A82" s="25"/>
      <c r="B82" s="13">
        <v>-6196.24</v>
      </c>
      <c r="C82" s="13">
        <v>-7156.26</v>
      </c>
      <c r="D82" s="13">
        <v>-10076.450000000001</v>
      </c>
      <c r="E82" s="13">
        <v>-10076.450000000001</v>
      </c>
      <c r="F82" s="30"/>
      <c r="G82" s="239" t="s">
        <v>179</v>
      </c>
      <c r="H82" s="64"/>
      <c r="I82" s="13">
        <v>-10076.450000000001</v>
      </c>
      <c r="J82" s="13">
        <v>-10076.450000000001</v>
      </c>
      <c r="K82" s="13">
        <v>-10076.450000000001</v>
      </c>
      <c r="L82" s="12"/>
      <c r="M82" s="12"/>
      <c r="N82" s="13"/>
      <c r="O82" s="107">
        <f t="shared" si="10"/>
        <v>0</v>
      </c>
    </row>
    <row r="83" spans="1:15" ht="11.1" customHeight="1" x14ac:dyDescent="0.2">
      <c r="A83" s="25"/>
      <c r="B83" s="13">
        <v>-32258.39</v>
      </c>
      <c r="C83" s="13">
        <v>-45232.08</v>
      </c>
      <c r="D83" s="13">
        <f>-3278.55-16424.47-24874.28</f>
        <v>-44577.3</v>
      </c>
      <c r="E83" s="13">
        <f>-3278.55-16424.47-24874.28</f>
        <v>-44577.3</v>
      </c>
      <c r="F83" s="30"/>
      <c r="G83" s="239" t="s">
        <v>180</v>
      </c>
      <c r="H83" s="64"/>
      <c r="I83" s="13">
        <f>-3278.55-16424.47-24874.28</f>
        <v>-44577.3</v>
      </c>
      <c r="J83" s="13">
        <f>-3278.55-16424.47-24874.28</f>
        <v>-44577.3</v>
      </c>
      <c r="K83" s="13">
        <f>-3278.55-16424.47-24874.28</f>
        <v>-44577.3</v>
      </c>
      <c r="L83" s="12"/>
      <c r="M83" s="12"/>
      <c r="N83" s="13"/>
      <c r="O83" s="107">
        <f t="shared" si="10"/>
        <v>0</v>
      </c>
    </row>
    <row r="84" spans="1:15" ht="11.1" customHeight="1" x14ac:dyDescent="0.2">
      <c r="A84" s="25"/>
      <c r="B84" s="13"/>
      <c r="C84" s="13">
        <v>-763.49</v>
      </c>
      <c r="D84" s="13"/>
      <c r="E84" s="13"/>
      <c r="F84" s="30"/>
      <c r="G84" s="239" t="s">
        <v>181</v>
      </c>
      <c r="H84" s="64"/>
      <c r="I84" s="13"/>
      <c r="J84" s="13"/>
      <c r="K84" s="13"/>
      <c r="L84" s="12"/>
      <c r="M84" s="12"/>
      <c r="N84" s="13"/>
      <c r="O84" s="107" t="str">
        <f t="shared" si="10"/>
        <v/>
      </c>
    </row>
    <row r="85" spans="1:15" ht="11.1" customHeight="1" x14ac:dyDescent="0.2">
      <c r="A85" s="25"/>
      <c r="B85" s="13">
        <v>-45687.4</v>
      </c>
      <c r="C85" s="13">
        <v>-41772.25</v>
      </c>
      <c r="D85" s="13">
        <v>-11496.84</v>
      </c>
      <c r="E85" s="13">
        <v>-11496.84</v>
      </c>
      <c r="F85" s="30"/>
      <c r="G85" s="239" t="s">
        <v>182</v>
      </c>
      <c r="H85" s="64"/>
      <c r="I85" s="13">
        <v>-11496.84</v>
      </c>
      <c r="J85" s="13">
        <v>-11496.84</v>
      </c>
      <c r="K85" s="13">
        <v>-11496.84</v>
      </c>
      <c r="L85" s="12"/>
      <c r="M85" s="12"/>
      <c r="N85" s="13"/>
      <c r="O85" s="107">
        <f t="shared" si="10"/>
        <v>0</v>
      </c>
    </row>
    <row r="86" spans="1:15" ht="11.1" customHeight="1" x14ac:dyDescent="0.2">
      <c r="A86" s="25"/>
      <c r="B86" s="13">
        <v>-148491.41</v>
      </c>
      <c r="C86" s="13">
        <v>-145560.6</v>
      </c>
      <c r="D86" s="13">
        <v>-269623.95</v>
      </c>
      <c r="E86" s="13">
        <v>-269623.95</v>
      </c>
      <c r="F86" s="30"/>
      <c r="G86" s="239" t="s">
        <v>157</v>
      </c>
      <c r="H86" s="64"/>
      <c r="I86" s="13">
        <v>-269623.95</v>
      </c>
      <c r="J86" s="13">
        <v>-269623.95</v>
      </c>
      <c r="K86" s="13">
        <v>-269623.95</v>
      </c>
      <c r="L86" s="12"/>
      <c r="M86" s="12"/>
      <c r="N86" s="13"/>
      <c r="O86" s="107">
        <f t="shared" si="10"/>
        <v>0</v>
      </c>
    </row>
    <row r="87" spans="1:15" ht="11.1" customHeight="1" x14ac:dyDescent="0.2">
      <c r="A87" s="25"/>
      <c r="B87" s="13">
        <v>-17775.669999999998</v>
      </c>
      <c r="C87" s="13">
        <v>-21458.06</v>
      </c>
      <c r="D87" s="13">
        <v>-14906.92</v>
      </c>
      <c r="E87" s="13">
        <v>-14906.92</v>
      </c>
      <c r="F87" s="30"/>
      <c r="G87" s="239" t="s">
        <v>158</v>
      </c>
      <c r="H87" s="64"/>
      <c r="I87" s="13">
        <v>-14906.92</v>
      </c>
      <c r="J87" s="13">
        <v>-14906.92</v>
      </c>
      <c r="K87" s="13">
        <v>-14906.92</v>
      </c>
      <c r="L87" s="12"/>
      <c r="M87" s="12"/>
      <c r="N87" s="13"/>
      <c r="O87" s="107">
        <f t="shared" si="10"/>
        <v>0</v>
      </c>
    </row>
    <row r="88" spans="1:15" ht="11.1" customHeight="1" x14ac:dyDescent="0.2">
      <c r="A88" s="25"/>
      <c r="B88" s="13"/>
      <c r="C88" s="13">
        <v>-328.22</v>
      </c>
      <c r="D88" s="13"/>
      <c r="E88" s="13"/>
      <c r="F88" s="30"/>
      <c r="G88" s="239" t="s">
        <v>202</v>
      </c>
      <c r="H88" s="64"/>
      <c r="I88" s="13"/>
      <c r="J88" s="13"/>
      <c r="K88" s="13"/>
      <c r="L88" s="12"/>
      <c r="M88" s="12"/>
      <c r="N88" s="13"/>
      <c r="O88" s="107" t="str">
        <f t="shared" si="10"/>
        <v/>
      </c>
    </row>
    <row r="89" spans="1:15" ht="11.1" customHeight="1" x14ac:dyDescent="0.2">
      <c r="A89" s="25"/>
      <c r="B89" s="13">
        <v>-21729.98</v>
      </c>
      <c r="C89" s="13">
        <v>-20612.400000000001</v>
      </c>
      <c r="D89" s="13">
        <v>-25944.07</v>
      </c>
      <c r="E89" s="13">
        <v>-25944.07</v>
      </c>
      <c r="F89" s="30"/>
      <c r="G89" s="239" t="s">
        <v>159</v>
      </c>
      <c r="H89" s="64"/>
      <c r="I89" s="13">
        <v>-25944.07</v>
      </c>
      <c r="J89" s="13">
        <v>-25944.07</v>
      </c>
      <c r="K89" s="13">
        <v>-25944.07</v>
      </c>
      <c r="L89" s="12"/>
      <c r="M89" s="12"/>
      <c r="N89" s="13"/>
      <c r="O89" s="107">
        <f t="shared" si="10"/>
        <v>0</v>
      </c>
    </row>
    <row r="90" spans="1:15" ht="11.1" customHeight="1" x14ac:dyDescent="0.2">
      <c r="A90" s="25"/>
      <c r="B90" s="25">
        <v>-21296.68</v>
      </c>
      <c r="C90" s="13">
        <v>-27706.69</v>
      </c>
      <c r="D90" s="13">
        <v>-12667.98</v>
      </c>
      <c r="E90" s="13">
        <v>-12667.98</v>
      </c>
      <c r="F90" s="30"/>
      <c r="G90" s="239" t="s">
        <v>183</v>
      </c>
      <c r="H90" s="64"/>
      <c r="I90" s="13">
        <v>-12667.98</v>
      </c>
      <c r="J90" s="13">
        <v>-12667.98</v>
      </c>
      <c r="K90" s="13">
        <v>-12667.98</v>
      </c>
      <c r="L90" s="12"/>
      <c r="M90" s="12"/>
      <c r="N90" s="13"/>
      <c r="O90" s="107">
        <f t="shared" si="10"/>
        <v>0</v>
      </c>
    </row>
    <row r="91" spans="1:15" ht="11.1" customHeight="1" x14ac:dyDescent="0.2">
      <c r="A91" s="25"/>
      <c r="B91" s="13">
        <v>-8381.7000000000007</v>
      </c>
      <c r="C91" s="13">
        <v>-9514.1</v>
      </c>
      <c r="D91" s="13">
        <v>-35504.589999999997</v>
      </c>
      <c r="E91" s="13">
        <v>-35504.589999999997</v>
      </c>
      <c r="F91" s="30"/>
      <c r="G91" s="239" t="s">
        <v>184</v>
      </c>
      <c r="H91" s="64"/>
      <c r="I91" s="13">
        <v>-35504.589999999997</v>
      </c>
      <c r="J91" s="13">
        <v>-35504.589999999997</v>
      </c>
      <c r="K91" s="13">
        <v>-35504.589999999997</v>
      </c>
      <c r="L91" s="12"/>
      <c r="M91" s="12"/>
      <c r="N91" s="13"/>
      <c r="O91" s="107">
        <f t="shared" si="10"/>
        <v>0</v>
      </c>
    </row>
    <row r="92" spans="1:15" ht="11.1" customHeight="1" x14ac:dyDescent="0.2">
      <c r="A92" s="25"/>
      <c r="B92" s="13">
        <v>-1177.04</v>
      </c>
      <c r="C92" s="13">
        <v>-1158.78</v>
      </c>
      <c r="D92" s="13">
        <v>-1383.8</v>
      </c>
      <c r="E92" s="13">
        <v>-1383.8</v>
      </c>
      <c r="F92" s="30"/>
      <c r="G92" s="239" t="s">
        <v>185</v>
      </c>
      <c r="H92" s="64"/>
      <c r="I92" s="13">
        <v>-1383.8</v>
      </c>
      <c r="J92" s="13">
        <v>-1383.8</v>
      </c>
      <c r="K92" s="13">
        <v>-1383.8</v>
      </c>
      <c r="L92" s="12"/>
      <c r="M92" s="12"/>
      <c r="N92" s="13"/>
      <c r="O92" s="107">
        <f t="shared" si="10"/>
        <v>0</v>
      </c>
    </row>
    <row r="93" spans="1:15" ht="11.1" customHeight="1" x14ac:dyDescent="0.2">
      <c r="A93" s="25"/>
      <c r="B93" s="13">
        <v>-2987.8</v>
      </c>
      <c r="C93" s="13">
        <v>-4333.93</v>
      </c>
      <c r="D93" s="13">
        <v>-3300.18</v>
      </c>
      <c r="E93" s="13">
        <v>-3300.18</v>
      </c>
      <c r="F93" s="30"/>
      <c r="G93" s="239" t="s">
        <v>186</v>
      </c>
      <c r="H93" s="64"/>
      <c r="I93" s="13">
        <v>-3300.18</v>
      </c>
      <c r="J93" s="13">
        <v>-3300.18</v>
      </c>
      <c r="K93" s="13">
        <v>-3300.18</v>
      </c>
      <c r="L93" s="12"/>
      <c r="M93" s="12"/>
      <c r="N93" s="13"/>
      <c r="O93" s="107">
        <f t="shared" si="10"/>
        <v>0</v>
      </c>
    </row>
    <row r="94" spans="1:15" ht="11.1" customHeight="1" x14ac:dyDescent="0.2">
      <c r="A94" s="25"/>
      <c r="B94" s="13">
        <v>-156</v>
      </c>
      <c r="C94" s="13"/>
      <c r="D94" s="13"/>
      <c r="E94" s="13"/>
      <c r="F94" s="30"/>
      <c r="G94" s="239" t="s">
        <v>187</v>
      </c>
      <c r="H94" s="64"/>
      <c r="I94" s="13"/>
      <c r="J94" s="13"/>
      <c r="K94" s="13"/>
      <c r="L94" s="12"/>
      <c r="M94" s="12"/>
      <c r="N94" s="13"/>
      <c r="O94" s="107" t="str">
        <f t="shared" si="10"/>
        <v/>
      </c>
    </row>
    <row r="95" spans="1:15" ht="11.1" customHeight="1" x14ac:dyDescent="0.2">
      <c r="A95" s="25"/>
      <c r="B95" s="13">
        <v>-20440.93</v>
      </c>
      <c r="C95" s="13">
        <v>-23840.13</v>
      </c>
      <c r="D95" s="13">
        <v>-24246.76</v>
      </c>
      <c r="E95" s="13">
        <v>-24246.76</v>
      </c>
      <c r="F95" s="30"/>
      <c r="G95" s="239" t="s">
        <v>188</v>
      </c>
      <c r="H95" s="64"/>
      <c r="I95" s="13">
        <v>-24246.76</v>
      </c>
      <c r="J95" s="13">
        <v>-24246.76</v>
      </c>
      <c r="K95" s="13">
        <v>-24246.76</v>
      </c>
      <c r="L95" s="12"/>
      <c r="M95" s="12"/>
      <c r="N95" s="13"/>
      <c r="O95" s="107">
        <f t="shared" si="10"/>
        <v>0</v>
      </c>
    </row>
    <row r="96" spans="1:15" ht="11.1" customHeight="1" x14ac:dyDescent="0.2">
      <c r="A96" s="25"/>
      <c r="B96" s="13">
        <v>-6455.52</v>
      </c>
      <c r="C96" s="13">
        <v>-3789.18</v>
      </c>
      <c r="D96" s="13">
        <v>-7093.82</v>
      </c>
      <c r="E96" s="13">
        <v>-7093.82</v>
      </c>
      <c r="F96" s="30"/>
      <c r="G96" s="239" t="s">
        <v>189</v>
      </c>
      <c r="H96" s="64"/>
      <c r="I96" s="13">
        <v>-7093.82</v>
      </c>
      <c r="J96" s="13">
        <v>-7093.82</v>
      </c>
      <c r="K96" s="13">
        <v>-7093.82</v>
      </c>
      <c r="L96" s="12"/>
      <c r="M96" s="12"/>
      <c r="N96" s="13"/>
      <c r="O96" s="107">
        <f t="shared" si="10"/>
        <v>0</v>
      </c>
    </row>
    <row r="97" spans="1:16" ht="11.1" customHeight="1" x14ac:dyDescent="0.2">
      <c r="A97" s="25"/>
      <c r="B97" s="13">
        <v>-3030.78</v>
      </c>
      <c r="C97" s="13">
        <v>-3676.18</v>
      </c>
      <c r="D97" s="13">
        <f>-4.05-4120.49</f>
        <v>-4124.54</v>
      </c>
      <c r="E97" s="13">
        <f>-4.05-4120.49</f>
        <v>-4124.54</v>
      </c>
      <c r="F97" s="30"/>
      <c r="G97" s="239" t="s">
        <v>190</v>
      </c>
      <c r="H97" s="64"/>
      <c r="I97" s="13">
        <f>-4.05-4120.49</f>
        <v>-4124.54</v>
      </c>
      <c r="J97" s="13">
        <f>-4.05-4120.49</f>
        <v>-4124.54</v>
      </c>
      <c r="K97" s="13">
        <f>-4.05-4120.49</f>
        <v>-4124.54</v>
      </c>
      <c r="L97" s="12"/>
      <c r="M97" s="12"/>
      <c r="N97" s="13"/>
      <c r="O97" s="107">
        <f t="shared" si="10"/>
        <v>0</v>
      </c>
    </row>
    <row r="98" spans="1:16" ht="11.1" customHeight="1" x14ac:dyDescent="0.2">
      <c r="A98" s="25"/>
      <c r="B98" s="13">
        <v>-24000</v>
      </c>
      <c r="C98" s="13">
        <v>-32387.64</v>
      </c>
      <c r="D98" s="13">
        <v>-31790.75</v>
      </c>
      <c r="E98" s="13">
        <v>-31790.75</v>
      </c>
      <c r="F98" s="30"/>
      <c r="G98" s="239" t="s">
        <v>191</v>
      </c>
      <c r="H98" s="64"/>
      <c r="I98" s="13">
        <v>-31790.75</v>
      </c>
      <c r="J98" s="13">
        <v>-31790.75</v>
      </c>
      <c r="K98" s="13">
        <v>-31790.75</v>
      </c>
      <c r="L98" s="12"/>
      <c r="M98" s="12"/>
      <c r="N98" s="13"/>
      <c r="O98" s="107">
        <f t="shared" si="10"/>
        <v>0</v>
      </c>
    </row>
    <row r="99" spans="1:16" ht="11.1" customHeight="1" x14ac:dyDescent="0.2">
      <c r="A99" s="25"/>
      <c r="B99" s="13"/>
      <c r="C99" s="13">
        <v>-317.2</v>
      </c>
      <c r="D99" s="13">
        <f>-4461.53</f>
        <v>-4461.53</v>
      </c>
      <c r="E99" s="13">
        <f>-4461.53</f>
        <v>-4461.53</v>
      </c>
      <c r="F99" s="30"/>
      <c r="G99" s="239" t="s">
        <v>203</v>
      </c>
      <c r="H99" s="64"/>
      <c r="I99" s="13">
        <f>-4461.53</f>
        <v>-4461.53</v>
      </c>
      <c r="J99" s="13">
        <f>-4461.53</f>
        <v>-4461.53</v>
      </c>
      <c r="K99" s="13">
        <f>-4461.53</f>
        <v>-4461.53</v>
      </c>
      <c r="L99" s="12"/>
      <c r="M99" s="12"/>
      <c r="N99" s="13"/>
      <c r="O99" s="107">
        <f t="shared" si="10"/>
        <v>0</v>
      </c>
    </row>
    <row r="100" spans="1:16" ht="11.1" customHeight="1" x14ac:dyDescent="0.2">
      <c r="A100" s="25"/>
      <c r="B100" s="27"/>
      <c r="C100" s="13"/>
      <c r="D100" s="13">
        <v>-153.16</v>
      </c>
      <c r="E100" s="13">
        <v>-153.16</v>
      </c>
      <c r="F100" s="30"/>
      <c r="G100" s="239" t="s">
        <v>217</v>
      </c>
      <c r="H100" s="64"/>
      <c r="I100" s="13">
        <v>-153.16</v>
      </c>
      <c r="J100" s="13">
        <v>-153.16</v>
      </c>
      <c r="K100" s="13">
        <v>-153.16</v>
      </c>
      <c r="L100" s="12"/>
      <c r="M100" s="12"/>
      <c r="N100" s="13"/>
      <c r="O100" s="107">
        <f t="shared" si="10"/>
        <v>0</v>
      </c>
    </row>
    <row r="101" spans="1:16" ht="11.1" customHeight="1" x14ac:dyDescent="0.2">
      <c r="A101" s="97"/>
      <c r="B101" s="232">
        <f>SUBTOTAL(9,B61:B100)</f>
        <v>-855516.57000000018</v>
      </c>
      <c r="C101" s="233">
        <f>SUBTOTAL(9,C61:C100)</f>
        <v>-901572.01</v>
      </c>
      <c r="D101" s="233">
        <f>SUBTOTAL(9,D61:D100)</f>
        <v>-1142133.23</v>
      </c>
      <c r="E101" s="233">
        <f>SUBTOTAL(9,E61:E100)</f>
        <v>-1142133.23</v>
      </c>
      <c r="F101" s="70"/>
      <c r="G101" s="234" t="s">
        <v>60</v>
      </c>
      <c r="H101" s="71"/>
      <c r="I101" s="233">
        <f>SUBTOTAL(9,I61:I100)</f>
        <v>-1142133.23</v>
      </c>
      <c r="J101" s="233">
        <f t="shared" ref="J101:K101" si="15">SUBTOTAL(9,J61:J100)</f>
        <v>-1142133.23</v>
      </c>
      <c r="K101" s="233">
        <f t="shared" si="15"/>
        <v>-1142133.23</v>
      </c>
      <c r="L101" s="235"/>
      <c r="M101" s="235"/>
      <c r="N101" s="233"/>
      <c r="O101" s="250">
        <f t="shared" si="10"/>
        <v>0</v>
      </c>
    </row>
    <row r="102" spans="1:16" ht="11.1" customHeight="1" x14ac:dyDescent="0.2">
      <c r="A102" s="25"/>
      <c r="B102" s="13">
        <v>-1801.33</v>
      </c>
      <c r="C102" s="13">
        <v>-2555.25</v>
      </c>
      <c r="D102" s="13">
        <v>-2205.5</v>
      </c>
      <c r="E102" s="13">
        <v>-2205.5</v>
      </c>
      <c r="F102" s="30"/>
      <c r="G102" s="239" t="s">
        <v>160</v>
      </c>
      <c r="H102" s="64"/>
      <c r="I102" s="13">
        <v>-2205.5</v>
      </c>
      <c r="J102" s="13">
        <v>-2205.5</v>
      </c>
      <c r="K102" s="13">
        <v>-2205.5</v>
      </c>
      <c r="L102" s="12"/>
      <c r="M102" s="12"/>
      <c r="N102" s="13"/>
      <c r="O102" s="107">
        <f t="shared" si="10"/>
        <v>0</v>
      </c>
    </row>
    <row r="103" spans="1:16" ht="11.1" customHeight="1" x14ac:dyDescent="0.2">
      <c r="A103" s="25"/>
      <c r="B103" s="13">
        <v>-30360</v>
      </c>
      <c r="C103" s="13">
        <v>-36517.379999999997</v>
      </c>
      <c r="D103" s="13">
        <v>-37336.120000000003</v>
      </c>
      <c r="E103" s="13">
        <v>-37336.120000000003</v>
      </c>
      <c r="F103" s="30"/>
      <c r="G103" s="239" t="s">
        <v>192</v>
      </c>
      <c r="H103" s="64"/>
      <c r="I103" s="13">
        <v>-37336.120000000003</v>
      </c>
      <c r="J103" s="13">
        <v>-37336.120000000003</v>
      </c>
      <c r="K103" s="13">
        <v>-37336.120000000003</v>
      </c>
      <c r="L103" s="12"/>
      <c r="M103" s="12"/>
      <c r="N103" s="13"/>
      <c r="O103" s="107">
        <f t="shared" si="10"/>
        <v>0</v>
      </c>
    </row>
    <row r="104" spans="1:16" ht="11.1" customHeight="1" x14ac:dyDescent="0.2">
      <c r="A104" s="25"/>
      <c r="B104" s="13">
        <v>-11465.5</v>
      </c>
      <c r="C104" s="13">
        <v>-9377.5300000000007</v>
      </c>
      <c r="D104" s="13">
        <v>-7985.68</v>
      </c>
      <c r="E104" s="13">
        <v>-7985.68</v>
      </c>
      <c r="F104" s="30"/>
      <c r="G104" s="239" t="s">
        <v>193</v>
      </c>
      <c r="H104" s="64"/>
      <c r="I104" s="13">
        <v>-7985.68</v>
      </c>
      <c r="J104" s="13">
        <v>-7985.68</v>
      </c>
      <c r="K104" s="13">
        <v>-7985.68</v>
      </c>
      <c r="L104" s="12"/>
      <c r="M104" s="12"/>
      <c r="N104" s="13"/>
      <c r="O104" s="107">
        <f t="shared" ref="O104:O140" si="16">IF(I104+K104=0,"",((J104/I104-1)+(K104/J104-1))/3)</f>
        <v>0</v>
      </c>
    </row>
    <row r="105" spans="1:16" ht="11.1" customHeight="1" x14ac:dyDescent="0.2">
      <c r="A105" s="25"/>
      <c r="B105" s="13">
        <v>-13672.92</v>
      </c>
      <c r="C105" s="13">
        <v>-14646</v>
      </c>
      <c r="D105" s="13">
        <v>-22792.5</v>
      </c>
      <c r="E105" s="13">
        <v>-22792.5</v>
      </c>
      <c r="F105" s="30"/>
      <c r="G105" s="239" t="s">
        <v>194</v>
      </c>
      <c r="H105" s="64"/>
      <c r="I105" s="13">
        <v>-22792.5</v>
      </c>
      <c r="J105" s="13">
        <v>-22792.5</v>
      </c>
      <c r="K105" s="13">
        <v>-22792.5</v>
      </c>
      <c r="L105" s="12"/>
      <c r="M105" s="12"/>
      <c r="N105" s="13"/>
      <c r="O105" s="107">
        <f t="shared" si="16"/>
        <v>0</v>
      </c>
    </row>
    <row r="106" spans="1:16" ht="11.1" customHeight="1" x14ac:dyDescent="0.2">
      <c r="A106" s="97"/>
      <c r="B106" s="232">
        <f>SUBTOTAL(9,B102:B105)</f>
        <v>-57299.75</v>
      </c>
      <c r="C106" s="233">
        <f>SUBTOTAL(9,C102:C105)</f>
        <v>-63096.159999999996</v>
      </c>
      <c r="D106" s="233">
        <f>SUBTOTAL(9,D102:D105)</f>
        <v>-70319.8</v>
      </c>
      <c r="E106" s="233">
        <f>SUBTOTAL(9,E102:E105)</f>
        <v>-70319.8</v>
      </c>
      <c r="F106" s="70"/>
      <c r="G106" s="251" t="s">
        <v>9</v>
      </c>
      <c r="H106" s="71"/>
      <c r="I106" s="233">
        <f>SUBTOTAL(9,I102:I105)</f>
        <v>-70319.8</v>
      </c>
      <c r="J106" s="233">
        <f>SUBTOTAL(9,J102:J105)</f>
        <v>-70319.8</v>
      </c>
      <c r="K106" s="233">
        <f>SUBTOTAL(9,K102:K105)</f>
        <v>-70319.8</v>
      </c>
      <c r="L106" s="235"/>
      <c r="M106" s="235"/>
      <c r="N106" s="233"/>
      <c r="O106" s="250">
        <f t="shared" si="16"/>
        <v>0</v>
      </c>
    </row>
    <row r="107" spans="1:16" ht="11.1" customHeight="1" x14ac:dyDescent="0.2">
      <c r="A107" s="97"/>
      <c r="B107" s="13">
        <v>-559781</v>
      </c>
      <c r="C107" s="25">
        <v>-598092.77</v>
      </c>
      <c r="D107" s="25">
        <v>-637202.76</v>
      </c>
      <c r="E107" s="25">
        <v>-740000</v>
      </c>
      <c r="F107" s="97"/>
      <c r="G107" s="252" t="s">
        <v>195</v>
      </c>
      <c r="H107" s="120"/>
      <c r="I107" s="25">
        <v>-818662</v>
      </c>
      <c r="J107" s="25">
        <f>I107</f>
        <v>-818662</v>
      </c>
      <c r="K107" s="25">
        <f>J107</f>
        <v>-818662</v>
      </c>
      <c r="L107" s="243"/>
      <c r="M107" s="243"/>
      <c r="N107" s="97"/>
      <c r="O107" s="107">
        <f t="shared" si="16"/>
        <v>0</v>
      </c>
      <c r="P107" s="257"/>
    </row>
    <row r="108" spans="1:16" ht="11.1" customHeight="1" x14ac:dyDescent="0.2">
      <c r="A108" s="97"/>
      <c r="B108" s="13">
        <v>-156179</v>
      </c>
      <c r="C108" s="25">
        <v>-198092.74</v>
      </c>
      <c r="D108" s="25">
        <f>-211948.58-16020.26</f>
        <v>-227968.84</v>
      </c>
      <c r="E108" s="25">
        <v>-260000</v>
      </c>
      <c r="F108" s="97"/>
      <c r="G108" s="252" t="s">
        <v>196</v>
      </c>
      <c r="H108" s="120"/>
      <c r="I108" s="25">
        <v>-287638</v>
      </c>
      <c r="J108" s="25">
        <f>I108</f>
        <v>-287638</v>
      </c>
      <c r="K108" s="25">
        <f>J108</f>
        <v>-287638</v>
      </c>
      <c r="L108" s="243"/>
      <c r="M108" s="243"/>
      <c r="N108" s="97"/>
      <c r="O108" s="107">
        <f t="shared" si="16"/>
        <v>0</v>
      </c>
      <c r="P108" s="257"/>
    </row>
    <row r="109" spans="1:16" ht="11.1" customHeight="1" x14ac:dyDescent="0.2">
      <c r="A109" s="97"/>
      <c r="B109" s="13">
        <f>-32811.13</f>
        <v>-32811.129999999997</v>
      </c>
      <c r="C109" s="25">
        <v>-3180.85</v>
      </c>
      <c r="D109" s="25">
        <v>-3309.86</v>
      </c>
      <c r="E109" s="25">
        <v>-3309.86</v>
      </c>
      <c r="F109" s="97"/>
      <c r="G109" s="252" t="s">
        <v>197</v>
      </c>
      <c r="H109" s="120"/>
      <c r="I109" s="25">
        <v>-3309.86</v>
      </c>
      <c r="J109" s="25">
        <v>-3309.86</v>
      </c>
      <c r="K109" s="25">
        <v>-3309.86</v>
      </c>
      <c r="L109" s="243"/>
      <c r="M109" s="243"/>
      <c r="N109" s="97"/>
      <c r="O109" s="107">
        <f t="shared" si="16"/>
        <v>0</v>
      </c>
      <c r="P109" s="257"/>
    </row>
    <row r="110" spans="1:16" ht="11.1" customHeight="1" x14ac:dyDescent="0.2">
      <c r="A110" s="97"/>
      <c r="B110" s="13">
        <v>-28215</v>
      </c>
      <c r="C110" s="25">
        <v>-27974</v>
      </c>
      <c r="D110" s="25">
        <v>-5505</v>
      </c>
      <c r="E110" s="25">
        <v>-5505</v>
      </c>
      <c r="F110" s="97"/>
      <c r="G110" s="239" t="s">
        <v>198</v>
      </c>
      <c r="H110" s="120"/>
      <c r="I110" s="25">
        <v>-5505</v>
      </c>
      <c r="J110" s="25">
        <v>-5505</v>
      </c>
      <c r="K110" s="25">
        <v>-5505</v>
      </c>
      <c r="L110" s="243"/>
      <c r="M110" s="243"/>
      <c r="N110" s="97"/>
      <c r="O110" s="107">
        <f t="shared" si="16"/>
        <v>0</v>
      </c>
      <c r="P110" s="23"/>
    </row>
    <row r="111" spans="1:16" ht="11.1" customHeight="1" x14ac:dyDescent="0.2">
      <c r="A111" s="25"/>
      <c r="B111" s="27"/>
      <c r="C111" s="13"/>
      <c r="D111" s="13"/>
      <c r="E111" s="13"/>
      <c r="F111" s="25"/>
      <c r="G111" s="239"/>
      <c r="H111" s="50"/>
      <c r="I111" s="13"/>
      <c r="J111" s="13"/>
      <c r="K111" s="13"/>
      <c r="L111" s="12"/>
      <c r="M111" s="12"/>
      <c r="N111" s="13"/>
      <c r="O111" s="107" t="str">
        <f t="shared" si="16"/>
        <v/>
      </c>
    </row>
    <row r="112" spans="1:16" ht="11.1" customHeight="1" x14ac:dyDescent="0.2">
      <c r="A112" s="25"/>
      <c r="B112" s="27"/>
      <c r="C112" s="13"/>
      <c r="D112" s="13"/>
      <c r="E112" s="13"/>
      <c r="F112" s="25"/>
      <c r="G112" s="239"/>
      <c r="H112" s="50"/>
      <c r="I112" s="13"/>
      <c r="J112" s="13"/>
      <c r="K112" s="13"/>
      <c r="L112" s="12"/>
      <c r="M112" s="12"/>
      <c r="N112" s="13"/>
      <c r="O112" s="107" t="str">
        <f t="shared" si="16"/>
        <v/>
      </c>
    </row>
    <row r="113" spans="1:16" ht="11.1" customHeight="1" x14ac:dyDescent="0.2">
      <c r="A113" s="97"/>
      <c r="B113" s="232">
        <f>SUM(B107:B112)</f>
        <v>-776986.13</v>
      </c>
      <c r="C113" s="232">
        <f t="shared" ref="C113:D113" si="17">SUM(C107:C112)</f>
        <v>-827340.36</v>
      </c>
      <c r="D113" s="232">
        <f t="shared" si="17"/>
        <v>-873986.46</v>
      </c>
      <c r="E113" s="232">
        <f t="shared" ref="E113" si="18">SUM(E107:E112)</f>
        <v>-1008814.86</v>
      </c>
      <c r="F113" s="70"/>
      <c r="G113" s="234" t="s">
        <v>8</v>
      </c>
      <c r="H113" s="71"/>
      <c r="I113" s="232">
        <f t="shared" ref="I113:K113" si="19">SUM(I107:I112)</f>
        <v>-1115114.8600000001</v>
      </c>
      <c r="J113" s="232">
        <f t="shared" si="19"/>
        <v>-1115114.8600000001</v>
      </c>
      <c r="K113" s="232">
        <f t="shared" si="19"/>
        <v>-1115114.8600000001</v>
      </c>
      <c r="L113" s="235"/>
      <c r="M113" s="235"/>
      <c r="N113" s="233"/>
      <c r="O113" s="250">
        <f t="shared" si="16"/>
        <v>0</v>
      </c>
      <c r="P113" s="257"/>
    </row>
    <row r="114" spans="1:16" ht="11.1" customHeight="1" x14ac:dyDescent="0.2">
      <c r="A114" s="25"/>
      <c r="B114" s="13">
        <v>-16781</v>
      </c>
      <c r="C114" s="13">
        <v>-21237</v>
      </c>
      <c r="D114" s="13">
        <f>-767-1239.85-16127.68</f>
        <v>-18134.53</v>
      </c>
      <c r="E114" s="13">
        <f>-E14</f>
        <v>-18135</v>
      </c>
      <c r="F114" s="25"/>
      <c r="G114" s="73" t="s">
        <v>10</v>
      </c>
      <c r="H114" s="50"/>
      <c r="I114" s="13">
        <f>-I14</f>
        <v>-18135</v>
      </c>
      <c r="J114" s="13">
        <f>-J14</f>
        <v>-18135</v>
      </c>
      <c r="K114" s="13">
        <f>-K14</f>
        <v>-18135</v>
      </c>
      <c r="L114" s="12"/>
      <c r="M114" s="12"/>
      <c r="N114" s="12"/>
      <c r="O114" s="107">
        <f t="shared" si="16"/>
        <v>0</v>
      </c>
    </row>
    <row r="115" spans="1:16" ht="11.1" customHeight="1" x14ac:dyDescent="0.2">
      <c r="A115" s="25"/>
      <c r="B115" s="13">
        <v>-6790</v>
      </c>
      <c r="C115" s="13">
        <v>-5213</v>
      </c>
      <c r="D115" s="13">
        <f>-15280.65-12000.15-1011.22-1371.65</f>
        <v>-29663.670000000002</v>
      </c>
      <c r="E115" s="13">
        <f>-E25</f>
        <v>-14519</v>
      </c>
      <c r="F115" s="25"/>
      <c r="G115" s="73" t="s">
        <v>11</v>
      </c>
      <c r="H115" s="50"/>
      <c r="I115" s="13">
        <f>-I25</f>
        <v>-13503</v>
      </c>
      <c r="J115" s="13">
        <f>-J25</f>
        <v>-12430</v>
      </c>
      <c r="K115" s="13">
        <f>-K25</f>
        <v>-11833</v>
      </c>
      <c r="L115" s="12"/>
      <c r="M115" s="12"/>
      <c r="N115" s="12"/>
      <c r="O115" s="107">
        <f t="shared" si="16"/>
        <v>-4.2497595014144927E-2</v>
      </c>
    </row>
    <row r="116" spans="1:16" ht="11.1" customHeight="1" x14ac:dyDescent="0.2">
      <c r="A116" s="25"/>
      <c r="B116" s="13">
        <v>-2667</v>
      </c>
      <c r="C116" s="13">
        <v>-2883</v>
      </c>
      <c r="D116" s="13">
        <f>-2157.58-923.92</f>
        <v>-3081.5</v>
      </c>
      <c r="E116" s="13">
        <f>-2157.58-923.92</f>
        <v>-3081.5</v>
      </c>
      <c r="F116" s="25"/>
      <c r="G116" s="73" t="s">
        <v>199</v>
      </c>
      <c r="H116" s="50"/>
      <c r="I116" s="13">
        <f>-2157.58-923.92</f>
        <v>-3081.5</v>
      </c>
      <c r="J116" s="13">
        <f>-2157.58-923.92</f>
        <v>-3081.5</v>
      </c>
      <c r="K116" s="13">
        <f>-2157.58-923.92</f>
        <v>-3081.5</v>
      </c>
      <c r="L116" s="12"/>
      <c r="M116" s="12"/>
      <c r="N116" s="12"/>
      <c r="O116" s="107">
        <f t="shared" si="16"/>
        <v>0</v>
      </c>
    </row>
    <row r="117" spans="1:16" ht="11.1" customHeight="1" x14ac:dyDescent="0.2">
      <c r="A117" s="25"/>
      <c r="B117" s="13"/>
      <c r="C117" s="13"/>
      <c r="D117" s="13"/>
      <c r="E117" s="13">
        <v>0</v>
      </c>
      <c r="F117" s="25"/>
      <c r="G117" s="73" t="s">
        <v>73</v>
      </c>
      <c r="H117" s="50"/>
      <c r="I117" s="13">
        <v>0</v>
      </c>
      <c r="J117" s="13">
        <v>0</v>
      </c>
      <c r="K117" s="13">
        <v>0</v>
      </c>
      <c r="L117" s="204"/>
      <c r="M117" s="204"/>
      <c r="N117" s="204"/>
      <c r="O117" s="107" t="str">
        <f t="shared" si="16"/>
        <v/>
      </c>
    </row>
    <row r="118" spans="1:16" ht="11.1" customHeight="1" x14ac:dyDescent="0.2">
      <c r="A118" s="25"/>
      <c r="B118" s="13"/>
      <c r="C118" s="13"/>
      <c r="D118" s="13"/>
      <c r="E118" s="13">
        <f>-E26</f>
        <v>-1760.2569000000003</v>
      </c>
      <c r="F118" s="25"/>
      <c r="G118" s="253" t="s">
        <v>74</v>
      </c>
      <c r="H118" s="50"/>
      <c r="I118" s="13">
        <f>-I26</f>
        <v>-3970.5138000000006</v>
      </c>
      <c r="J118" s="13">
        <f>-J26</f>
        <v>-4870.5138000000006</v>
      </c>
      <c r="K118" s="13">
        <f>-K26</f>
        <v>-5770.5138000000006</v>
      </c>
      <c r="L118" s="204"/>
      <c r="M118" s="204"/>
      <c r="N118" s="203"/>
      <c r="O118" s="107">
        <f t="shared" si="16"/>
        <v>0.13715211622996151</v>
      </c>
    </row>
    <row r="119" spans="1:16" ht="11.1" customHeight="1" x14ac:dyDescent="0.2">
      <c r="A119" s="97"/>
      <c r="B119" s="232">
        <f>SUM(B114:B118)</f>
        <v>-26238</v>
      </c>
      <c r="C119" s="233">
        <f>SUM(C114:C118)</f>
        <v>-29333</v>
      </c>
      <c r="D119" s="233">
        <f>SUM(D114:D118)</f>
        <v>-50879.7</v>
      </c>
      <c r="E119" s="233">
        <f>SUM(E114:E118)</f>
        <v>-37495.7569</v>
      </c>
      <c r="F119" s="70"/>
      <c r="G119" s="251" t="s">
        <v>12</v>
      </c>
      <c r="H119" s="71"/>
      <c r="I119" s="233">
        <f>SUM(I114:I118)</f>
        <v>-38690.013800000001</v>
      </c>
      <c r="J119" s="233">
        <f>SUM(J114:J118)</f>
        <v>-38517.013800000001</v>
      </c>
      <c r="K119" s="233">
        <f>SUM(K114:K118)</f>
        <v>-38820.013800000001</v>
      </c>
      <c r="L119" s="235"/>
      <c r="M119" s="235"/>
      <c r="N119" s="233"/>
      <c r="O119" s="250">
        <f t="shared" si="16"/>
        <v>1.1317384698470805E-3</v>
      </c>
    </row>
    <row r="120" spans="1:16" ht="11.1" customHeight="1" x14ac:dyDescent="0.2">
      <c r="A120" s="25"/>
      <c r="B120" s="13">
        <v>-2725001</v>
      </c>
      <c r="C120" s="13">
        <v>536722</v>
      </c>
      <c r="D120" s="30">
        <f>6052333.25-4323560.49</f>
        <v>1728772.7599999998</v>
      </c>
      <c r="E120" s="30">
        <f>D120+135000-90000-1330000-20000+2000</f>
        <v>425772.75999999978</v>
      </c>
      <c r="F120" s="97"/>
      <c r="G120" s="64" t="s">
        <v>43</v>
      </c>
      <c r="H120" s="120"/>
      <c r="I120" s="30">
        <f>E120-160000-800000+830000-200000+5000+20000+15000</f>
        <v>135772.75999999978</v>
      </c>
      <c r="J120" s="30">
        <f>+I120-799000-200000+500000-5000</f>
        <v>-368227.24000000022</v>
      </c>
      <c r="K120" s="30">
        <f>+J120-501000-500000+200000+5000</f>
        <v>-1164227.2400000002</v>
      </c>
      <c r="L120" s="9"/>
      <c r="M120" s="9"/>
      <c r="N120" s="10"/>
      <c r="O120" s="107">
        <f t="shared" si="16"/>
        <v>-0.51679206225222873</v>
      </c>
      <c r="P120" s="257"/>
    </row>
    <row r="121" spans="1:16" ht="11.1" customHeight="1" x14ac:dyDescent="0.2">
      <c r="A121" s="25"/>
      <c r="B121" s="13">
        <v>-14000</v>
      </c>
      <c r="C121" s="13">
        <v>-59015</v>
      </c>
      <c r="D121" s="13">
        <f>-110312.14-50000</f>
        <v>-160312.14000000001</v>
      </c>
      <c r="E121" s="13">
        <v>-50000</v>
      </c>
      <c r="F121" s="97"/>
      <c r="G121" s="64" t="s">
        <v>13</v>
      </c>
      <c r="H121" s="120"/>
      <c r="I121" s="13">
        <v>-50000</v>
      </c>
      <c r="J121" s="13">
        <v>-50000</v>
      </c>
      <c r="K121" s="13">
        <v>-50000</v>
      </c>
      <c r="L121" s="9"/>
      <c r="M121" s="9"/>
      <c r="N121" s="10"/>
      <c r="O121" s="107">
        <f t="shared" si="16"/>
        <v>0</v>
      </c>
    </row>
    <row r="122" spans="1:16" ht="11.1" customHeight="1" x14ac:dyDescent="0.2">
      <c r="A122" s="25"/>
      <c r="B122" s="13">
        <v>-87583</v>
      </c>
      <c r="C122" s="13">
        <v>-20425</v>
      </c>
      <c r="D122" s="13">
        <v>-14318</v>
      </c>
      <c r="E122" s="13">
        <v>-14318</v>
      </c>
      <c r="F122" s="97"/>
      <c r="G122" s="64" t="s">
        <v>14</v>
      </c>
      <c r="H122" s="120"/>
      <c r="I122" s="13">
        <v>-14318</v>
      </c>
      <c r="J122" s="13">
        <v>-14318</v>
      </c>
      <c r="K122" s="13">
        <v>-14318</v>
      </c>
      <c r="L122" s="9"/>
      <c r="M122" s="9"/>
      <c r="N122" s="10"/>
      <c r="O122" s="107">
        <f t="shared" si="16"/>
        <v>0</v>
      </c>
      <c r="P122" s="12"/>
    </row>
    <row r="123" spans="1:16" ht="11.1" customHeight="1" x14ac:dyDescent="0.2">
      <c r="A123" s="25"/>
      <c r="B123" s="27"/>
      <c r="C123" s="13"/>
      <c r="D123" s="13"/>
      <c r="E123" s="13"/>
      <c r="F123" s="97"/>
      <c r="G123" s="64"/>
      <c r="H123" s="120"/>
      <c r="I123" s="13"/>
      <c r="J123" s="13"/>
      <c r="K123" s="13"/>
      <c r="L123" s="12"/>
      <c r="M123" s="12"/>
      <c r="N123" s="13"/>
      <c r="O123" s="107" t="str">
        <f t="shared" si="16"/>
        <v/>
      </c>
    </row>
    <row r="124" spans="1:16" ht="12.6" customHeight="1" x14ac:dyDescent="0.2">
      <c r="A124" s="25"/>
      <c r="B124" s="29">
        <f>SUM(B123,B122,B121,B120,B119,B113,B106,B101,B60)</f>
        <v>-4584009.22</v>
      </c>
      <c r="C124" s="29">
        <f>SUM(C123,C122,C121,C120,C119,C113,C106,C101,C60)</f>
        <v>-1412074.56</v>
      </c>
      <c r="D124" s="29">
        <f>SUM(D123,D122,D121,D120,D119,D113,D106,D101,D60)</f>
        <v>-668149.85000000033</v>
      </c>
      <c r="E124" s="29">
        <f>SUM(E123,E122,E121,E120,E119,E113,E106,E101,E60)</f>
        <v>-1982282.1669000003</v>
      </c>
      <c r="F124" s="25"/>
      <c r="G124" s="254" t="s">
        <v>15</v>
      </c>
      <c r="H124" s="52"/>
      <c r="I124" s="29">
        <f>SUM(I123,I122,I121,I120,I119,I113,I106,I101,I60)</f>
        <v>-2379776.4238000005</v>
      </c>
      <c r="J124" s="29">
        <f>SUM(J123,J122,J121,J120,J119,J113,J106,J101,J60)</f>
        <v>-2883603.4238000005</v>
      </c>
      <c r="K124" s="29">
        <f>SUM(K123,K122,K121,K120,K119,K113,K106,K101,K60)</f>
        <v>-3679906.4238</v>
      </c>
      <c r="L124" s="134"/>
      <c r="M124" s="134"/>
      <c r="N124" s="135"/>
      <c r="O124" s="248">
        <f t="shared" si="16"/>
        <v>0.16262016271217714</v>
      </c>
    </row>
    <row r="125" spans="1:16" ht="14.1" customHeight="1" x14ac:dyDescent="0.2">
      <c r="A125" s="25"/>
      <c r="B125" s="84">
        <f>+B51+B124</f>
        <v>31740.450000000186</v>
      </c>
      <c r="C125" s="84">
        <f>+C51+C124</f>
        <v>27727.169999999925</v>
      </c>
      <c r="D125" s="84">
        <f>+D51+D124</f>
        <v>56544.089999999735</v>
      </c>
      <c r="E125" s="84">
        <f>+E51+E124</f>
        <v>60593.833099999698</v>
      </c>
      <c r="F125" s="25"/>
      <c r="G125" s="24" t="s">
        <v>16</v>
      </c>
      <c r="H125" s="50"/>
      <c r="I125" s="84">
        <f>+I51+I124</f>
        <v>63099.576199999545</v>
      </c>
      <c r="J125" s="84">
        <f>+J51+J124</f>
        <v>59272.576199999545</v>
      </c>
      <c r="K125" s="84">
        <f>+K51+K124</f>
        <v>62969.57620000001</v>
      </c>
      <c r="L125" s="136"/>
      <c r="M125" s="136"/>
      <c r="N125" s="137"/>
      <c r="O125" s="249">
        <f t="shared" si="16"/>
        <v>5.7422957750981796E-4</v>
      </c>
    </row>
    <row r="126" spans="1:16" ht="11.1" customHeight="1" x14ac:dyDescent="0.2">
      <c r="A126" s="25"/>
      <c r="B126" s="60"/>
      <c r="C126" s="60"/>
      <c r="D126" s="13"/>
      <c r="E126" s="13"/>
      <c r="F126" s="25"/>
      <c r="G126" s="11"/>
      <c r="H126" s="50"/>
      <c r="I126" s="13"/>
      <c r="J126" s="13"/>
      <c r="K126" s="13"/>
      <c r="L126" s="16"/>
      <c r="M126" s="16"/>
      <c r="N126" s="22"/>
      <c r="O126" s="107" t="str">
        <f t="shared" si="16"/>
        <v/>
      </c>
    </row>
    <row r="127" spans="1:16" ht="11.1" customHeight="1" x14ac:dyDescent="0.2">
      <c r="A127" s="25"/>
      <c r="B127" s="27">
        <v>3</v>
      </c>
      <c r="C127" s="13"/>
      <c r="D127" s="13"/>
      <c r="E127" s="13"/>
      <c r="F127" s="25"/>
      <c r="G127" s="11" t="s">
        <v>200</v>
      </c>
      <c r="H127" s="50"/>
      <c r="I127" s="13"/>
      <c r="J127" s="13"/>
      <c r="K127" s="13"/>
      <c r="L127" s="12"/>
      <c r="M127" s="12"/>
      <c r="N127" s="12"/>
      <c r="O127" s="107" t="str">
        <f t="shared" si="16"/>
        <v/>
      </c>
    </row>
    <row r="128" spans="1:16" ht="11.1" customHeight="1" x14ac:dyDescent="0.2">
      <c r="A128" s="25"/>
      <c r="B128" s="30">
        <v>-18679</v>
      </c>
      <c r="C128" s="13">
        <v>-1112</v>
      </c>
      <c r="D128" s="13">
        <v>-239.11</v>
      </c>
      <c r="E128" s="13">
        <v>-239.11</v>
      </c>
      <c r="F128" s="25"/>
      <c r="G128" s="11" t="s">
        <v>201</v>
      </c>
      <c r="H128" s="50"/>
      <c r="I128" s="13">
        <v>-239.11</v>
      </c>
      <c r="J128" s="13">
        <v>-239.11</v>
      </c>
      <c r="K128" s="13">
        <v>-239.11</v>
      </c>
      <c r="L128" s="23"/>
      <c r="M128" s="23"/>
      <c r="N128" s="25"/>
      <c r="O128" s="107">
        <f t="shared" si="16"/>
        <v>0</v>
      </c>
    </row>
    <row r="129" spans="1:16" ht="11.1" customHeight="1" x14ac:dyDescent="0.2">
      <c r="A129" s="25"/>
      <c r="B129" s="30"/>
      <c r="C129" s="30"/>
      <c r="D129" s="13"/>
      <c r="E129" s="13"/>
      <c r="F129" s="25"/>
      <c r="G129" s="11"/>
      <c r="H129" s="50"/>
      <c r="I129" s="13"/>
      <c r="J129" s="13"/>
      <c r="K129" s="13"/>
      <c r="L129" s="23"/>
      <c r="M129" s="23"/>
      <c r="N129" s="23"/>
      <c r="O129" s="107" t="str">
        <f t="shared" si="16"/>
        <v/>
      </c>
    </row>
    <row r="130" spans="1:16" s="3" customFormat="1" ht="11.1" customHeight="1" x14ac:dyDescent="0.2">
      <c r="A130" s="25"/>
      <c r="B130" s="27"/>
      <c r="C130" s="27"/>
      <c r="D130" s="27"/>
      <c r="E130" s="27"/>
      <c r="F130" s="25"/>
      <c r="G130" s="11"/>
      <c r="H130" s="50"/>
      <c r="I130" s="27"/>
      <c r="J130" s="27"/>
      <c r="K130" s="27"/>
      <c r="L130" s="12"/>
      <c r="M130" s="12"/>
      <c r="N130" s="13"/>
      <c r="O130" s="107" t="str">
        <f t="shared" si="16"/>
        <v/>
      </c>
      <c r="P130" s="256"/>
    </row>
    <row r="131" spans="1:16" s="3" customFormat="1" ht="11.1" customHeight="1" x14ac:dyDescent="0.2">
      <c r="A131" s="25"/>
      <c r="B131" s="30"/>
      <c r="C131" s="30"/>
      <c r="D131" s="27"/>
      <c r="E131" s="27"/>
      <c r="F131" s="25"/>
      <c r="G131" s="11"/>
      <c r="H131" s="50"/>
      <c r="I131" s="27"/>
      <c r="J131" s="27"/>
      <c r="K131" s="27"/>
      <c r="L131" s="23"/>
      <c r="M131" s="23"/>
      <c r="N131" s="25"/>
      <c r="O131" s="107" t="str">
        <f t="shared" si="16"/>
        <v/>
      </c>
    </row>
    <row r="132" spans="1:16" ht="12.6" customHeight="1" x14ac:dyDescent="0.2">
      <c r="A132" s="25"/>
      <c r="B132" s="29">
        <f>SUM(B126:B131)</f>
        <v>-18676</v>
      </c>
      <c r="C132" s="29">
        <f>SUM(C126:C131)</f>
        <v>-1112</v>
      </c>
      <c r="D132" s="29">
        <f>SUM(D126:D131)</f>
        <v>-239.11</v>
      </c>
      <c r="E132" s="29">
        <f>SUM(E126:E131)</f>
        <v>-239.11</v>
      </c>
      <c r="F132" s="25"/>
      <c r="G132" s="21" t="s">
        <v>57</v>
      </c>
      <c r="H132" s="52"/>
      <c r="I132" s="29">
        <f>SUM(I126:I131)</f>
        <v>-239.11</v>
      </c>
      <c r="J132" s="29">
        <f>SUM(J126:J131)</f>
        <v>-239.11</v>
      </c>
      <c r="K132" s="29">
        <f>SUM(K126:K131)</f>
        <v>-239.11</v>
      </c>
      <c r="L132" s="134"/>
      <c r="M132" s="134"/>
      <c r="N132" s="135"/>
      <c r="O132" s="248">
        <f t="shared" si="16"/>
        <v>0</v>
      </c>
    </row>
    <row r="133" spans="1:16" s="19" customFormat="1" ht="11.1" customHeight="1" x14ac:dyDescent="0.2">
      <c r="A133" s="25"/>
      <c r="B133" s="27"/>
      <c r="C133" s="13"/>
      <c r="D133" s="13"/>
      <c r="E133" s="13"/>
      <c r="F133" s="30"/>
      <c r="G133" s="11" t="s">
        <v>81</v>
      </c>
      <c r="H133" s="50"/>
      <c r="I133" s="13"/>
      <c r="J133" s="13"/>
      <c r="K133" s="13"/>
      <c r="L133" s="12"/>
      <c r="M133" s="12"/>
      <c r="N133" s="13"/>
      <c r="O133" s="107" t="str">
        <f t="shared" si="16"/>
        <v/>
      </c>
    </row>
    <row r="134" spans="1:16" s="19" customFormat="1" ht="11.1" customHeight="1" x14ac:dyDescent="0.2">
      <c r="A134" s="25"/>
      <c r="B134" s="27"/>
      <c r="C134" s="13"/>
      <c r="D134" s="13"/>
      <c r="E134" s="13"/>
      <c r="F134" s="30"/>
      <c r="G134" s="11" t="s">
        <v>79</v>
      </c>
      <c r="H134" s="50"/>
      <c r="I134" s="13"/>
      <c r="J134" s="13"/>
      <c r="K134" s="13"/>
      <c r="L134" s="12"/>
      <c r="M134" s="12"/>
      <c r="N134" s="13"/>
      <c r="O134" s="107" t="str">
        <f t="shared" si="16"/>
        <v/>
      </c>
    </row>
    <row r="135" spans="1:16" s="19" customFormat="1" ht="11.1" customHeight="1" x14ac:dyDescent="0.2">
      <c r="A135" s="25"/>
      <c r="B135" s="27"/>
      <c r="C135" s="13"/>
      <c r="D135" s="13"/>
      <c r="E135" s="13"/>
      <c r="F135" s="30"/>
      <c r="G135" s="11" t="s">
        <v>80</v>
      </c>
      <c r="H135" s="50"/>
      <c r="I135" s="13"/>
      <c r="J135" s="13"/>
      <c r="K135" s="13"/>
      <c r="L135" s="12"/>
      <c r="M135" s="12"/>
      <c r="N135" s="13"/>
      <c r="O135" s="107" t="str">
        <f t="shared" si="16"/>
        <v/>
      </c>
    </row>
    <row r="136" spans="1:16" ht="12.6" customHeight="1" x14ac:dyDescent="0.2">
      <c r="A136" s="25"/>
      <c r="B136" s="29">
        <f>SUM(B133:B135)</f>
        <v>0</v>
      </c>
      <c r="C136" s="29">
        <f t="shared" ref="C136:D136" si="20">SUM(C133:C135)</f>
        <v>0</v>
      </c>
      <c r="D136" s="29">
        <f t="shared" si="20"/>
        <v>0</v>
      </c>
      <c r="E136" s="29">
        <f t="shared" ref="E136" si="21">SUM(E133:E135)</f>
        <v>0</v>
      </c>
      <c r="F136" s="25"/>
      <c r="G136" s="194" t="s">
        <v>83</v>
      </c>
      <c r="H136" s="52"/>
      <c r="I136" s="29">
        <f t="shared" ref="I136:K136" si="22">SUM(I133:I135)</f>
        <v>0</v>
      </c>
      <c r="J136" s="29">
        <f t="shared" si="22"/>
        <v>0</v>
      </c>
      <c r="K136" s="29">
        <f t="shared" si="22"/>
        <v>0</v>
      </c>
      <c r="L136" s="134"/>
      <c r="M136" s="134"/>
      <c r="N136" s="135"/>
      <c r="O136" s="248" t="str">
        <f t="shared" si="16"/>
        <v/>
      </c>
    </row>
    <row r="137" spans="1:16" ht="12.6" customHeight="1" x14ac:dyDescent="0.2">
      <c r="A137" s="25"/>
      <c r="B137" s="29">
        <f>+B125+B132+B136</f>
        <v>13064.450000000186</v>
      </c>
      <c r="C137" s="29">
        <f>+C125+C132+C136</f>
        <v>26615.169999999925</v>
      </c>
      <c r="D137" s="29">
        <f>+D125+D132+D136</f>
        <v>56304.979999999734</v>
      </c>
      <c r="E137" s="29">
        <f>+E125+E132+E136</f>
        <v>60354.723099999697</v>
      </c>
      <c r="F137" s="25"/>
      <c r="G137" s="21" t="s">
        <v>17</v>
      </c>
      <c r="H137" s="52"/>
      <c r="I137" s="29">
        <f>+I125+I132+I136</f>
        <v>62860.466199999544</v>
      </c>
      <c r="J137" s="29">
        <f>+J125+J132+J136</f>
        <v>59033.466199999544</v>
      </c>
      <c r="K137" s="29">
        <f>+K125+K132+K136</f>
        <v>62730.46620000001</v>
      </c>
      <c r="L137" s="134"/>
      <c r="M137" s="134"/>
      <c r="N137" s="135"/>
      <c r="O137" s="248">
        <f t="shared" si="16"/>
        <v>5.8154074280288481E-4</v>
      </c>
    </row>
    <row r="138" spans="1:16" s="3" customFormat="1" ht="12.75" customHeight="1" x14ac:dyDescent="0.2">
      <c r="A138" s="25"/>
      <c r="B138" s="32">
        <v>-7840</v>
      </c>
      <c r="C138" s="25">
        <v>-11078</v>
      </c>
      <c r="D138" s="25">
        <v>-27616</v>
      </c>
      <c r="E138" s="25">
        <v>-30000</v>
      </c>
      <c r="F138" s="25"/>
      <c r="G138" s="64" t="s">
        <v>18</v>
      </c>
      <c r="H138" s="50"/>
      <c r="I138" s="25">
        <v>-30000</v>
      </c>
      <c r="J138" s="25">
        <v>-30000</v>
      </c>
      <c r="K138" s="25">
        <v>-30000</v>
      </c>
      <c r="L138" s="23"/>
      <c r="M138" s="23"/>
      <c r="N138" s="23"/>
      <c r="O138" s="107">
        <f t="shared" si="16"/>
        <v>0</v>
      </c>
      <c r="P138" s="23"/>
    </row>
    <row r="139" spans="1:16" s="3" customFormat="1" ht="12.75" customHeight="1" x14ac:dyDescent="0.2">
      <c r="A139" s="25"/>
      <c r="B139" s="30">
        <v>0</v>
      </c>
      <c r="C139" s="78"/>
      <c r="D139" s="78">
        <v>-13030</v>
      </c>
      <c r="E139" s="78">
        <f>-60000*0.24</f>
        <v>-14400</v>
      </c>
      <c r="F139" s="25"/>
      <c r="G139" s="64" t="s">
        <v>19</v>
      </c>
      <c r="H139" s="50"/>
      <c r="I139" s="78">
        <f>-60000*0.24</f>
        <v>-14400</v>
      </c>
      <c r="J139" s="78">
        <f>-60000*0.24</f>
        <v>-14400</v>
      </c>
      <c r="K139" s="78">
        <f>-60000*0.24</f>
        <v>-14400</v>
      </c>
      <c r="L139" s="23"/>
      <c r="M139" s="23"/>
      <c r="N139" s="23"/>
      <c r="O139" s="107">
        <f t="shared" si="16"/>
        <v>0</v>
      </c>
    </row>
    <row r="140" spans="1:16" ht="14.1" customHeight="1" x14ac:dyDescent="0.2">
      <c r="A140" s="25"/>
      <c r="B140" s="84">
        <f>SUM(B137:B139)</f>
        <v>5224.4500000001863</v>
      </c>
      <c r="C140" s="84">
        <f>SUM(C137:C139)</f>
        <v>15537.169999999925</v>
      </c>
      <c r="D140" s="84">
        <f>SUM(D137:D139)</f>
        <v>15658.979999999734</v>
      </c>
      <c r="E140" s="84">
        <f>SUM(E137:E139)</f>
        <v>15954.723099999697</v>
      </c>
      <c r="F140" s="25"/>
      <c r="G140" s="24" t="s">
        <v>20</v>
      </c>
      <c r="H140" s="50"/>
      <c r="I140" s="84">
        <f>SUM(I137:I139)</f>
        <v>18460.466199999544</v>
      </c>
      <c r="J140" s="84">
        <f>SUM(J137:J139)</f>
        <v>14633.466199999544</v>
      </c>
      <c r="K140" s="84">
        <f>SUM(K137:K139)</f>
        <v>18330.46620000001</v>
      </c>
      <c r="L140" s="136"/>
      <c r="M140" s="136"/>
      <c r="N140" s="137"/>
      <c r="O140" s="249">
        <f t="shared" si="16"/>
        <v>1.5110733723434558E-2</v>
      </c>
    </row>
    <row r="141" spans="1:16" s="19" customFormat="1" ht="11.25" customHeight="1" x14ac:dyDescent="0.2">
      <c r="A141" s="23"/>
      <c r="B141" s="31"/>
      <c r="C141" s="31"/>
      <c r="D141" s="31"/>
      <c r="E141" s="31"/>
      <c r="F141" s="23"/>
      <c r="G141" s="31"/>
      <c r="H141" s="65"/>
      <c r="I141" s="110"/>
      <c r="J141" s="31"/>
      <c r="K141" s="31"/>
      <c r="L141" s="31"/>
      <c r="M141" s="31"/>
      <c r="N141" s="31"/>
      <c r="O141" s="111"/>
    </row>
    <row r="142" spans="1:16" s="19" customFormat="1" ht="11.25" customHeight="1" x14ac:dyDescent="0.2">
      <c r="A142" s="23"/>
      <c r="B142" s="23"/>
      <c r="C142" s="23"/>
      <c r="D142" s="23"/>
      <c r="E142" s="23"/>
      <c r="F142" s="23"/>
      <c r="G142" s="23"/>
      <c r="H142" s="65"/>
      <c r="I142" s="65"/>
      <c r="J142" s="23"/>
      <c r="K142" s="23"/>
      <c r="L142" s="23"/>
      <c r="M142" s="23"/>
      <c r="N142" s="23"/>
      <c r="O142" s="109"/>
    </row>
    <row r="143" spans="1:16" s="6" customFormat="1" ht="6.95" customHeight="1" x14ac:dyDescent="0.2">
      <c r="A143" s="5"/>
      <c r="B143" s="5"/>
      <c r="C143" s="5"/>
      <c r="D143" s="5"/>
      <c r="E143" s="5"/>
      <c r="F143" s="55"/>
      <c r="G143" s="4"/>
      <c r="H143" s="48"/>
      <c r="I143" s="55"/>
      <c r="J143" s="101"/>
      <c r="K143" s="101"/>
      <c r="L143" s="101"/>
      <c r="M143" s="55"/>
      <c r="N143" s="55"/>
      <c r="O143" s="102"/>
    </row>
    <row r="144" spans="1:16" s="6" customFormat="1" ht="11.25" customHeight="1" x14ac:dyDescent="0.2">
      <c r="A144" s="193"/>
      <c r="B144" s="77">
        <v>2016</v>
      </c>
      <c r="C144" s="77">
        <v>2017</v>
      </c>
      <c r="D144" s="77">
        <v>2018</v>
      </c>
      <c r="E144" s="77">
        <f>+E36</f>
        <v>2019</v>
      </c>
      <c r="F144" s="58"/>
      <c r="G144" s="85" t="s">
        <v>45</v>
      </c>
      <c r="H144" s="66"/>
      <c r="I144" s="237">
        <f>+I36</f>
        <v>2020</v>
      </c>
      <c r="J144" s="124">
        <f>+J36</f>
        <v>2021</v>
      </c>
      <c r="K144" s="124">
        <f>+K36</f>
        <v>2022</v>
      </c>
      <c r="L144" s="124"/>
      <c r="M144" s="124"/>
      <c r="N144" s="124"/>
      <c r="O144" s="244"/>
    </row>
    <row r="145" spans="1:16" s="37" customFormat="1" ht="11.25" customHeight="1" x14ac:dyDescent="0.2">
      <c r="A145" s="46"/>
      <c r="B145" s="76"/>
      <c r="C145" s="140">
        <f>+C2</f>
        <v>0</v>
      </c>
      <c r="D145" s="140">
        <f>+D2</f>
        <v>0</v>
      </c>
      <c r="E145" s="76" t="str">
        <f>+E2</f>
        <v>Stima</v>
      </c>
      <c r="F145" s="46"/>
      <c r="G145" s="41"/>
      <c r="H145" s="142"/>
      <c r="I145" s="272" t="s">
        <v>90</v>
      </c>
      <c r="J145" s="273"/>
      <c r="K145" s="273"/>
      <c r="L145" s="273"/>
      <c r="M145" s="273"/>
      <c r="N145" s="273"/>
      <c r="O145" s="245"/>
    </row>
    <row r="146" spans="1:16" ht="11.1" customHeight="1" x14ac:dyDescent="0.2">
      <c r="A146" s="25"/>
      <c r="B146" s="199">
        <f>+B140</f>
        <v>5224.4500000001863</v>
      </c>
      <c r="C146" s="199">
        <f t="shared" ref="C146:D146" si="23">+C140</f>
        <v>15537.169999999925</v>
      </c>
      <c r="D146" s="199">
        <f t="shared" si="23"/>
        <v>15658.979999999734</v>
      </c>
      <c r="E146" s="205">
        <f>+E140</f>
        <v>15954.723099999697</v>
      </c>
      <c r="F146" s="30"/>
      <c r="G146" s="26" t="s">
        <v>22</v>
      </c>
      <c r="H146" s="62"/>
      <c r="I146" s="205">
        <f t="shared" ref="I146:J146" si="24">+I140</f>
        <v>18460.466199999544</v>
      </c>
      <c r="J146" s="205">
        <f t="shared" si="24"/>
        <v>14633.466199999544</v>
      </c>
      <c r="K146" s="205">
        <f t="shared" ref="K146" si="25">+K140</f>
        <v>18330.46620000001</v>
      </c>
      <c r="L146" s="209"/>
      <c r="M146" s="209"/>
      <c r="N146" s="210"/>
      <c r="P146" s="264"/>
    </row>
    <row r="147" spans="1:16" ht="11.1" customHeight="1" x14ac:dyDescent="0.2">
      <c r="A147" s="25"/>
      <c r="B147" s="199">
        <v>0</v>
      </c>
      <c r="C147" s="199">
        <f t="shared" ref="C147:E147" si="26">C136</f>
        <v>0</v>
      </c>
      <c r="D147" s="199">
        <f t="shared" si="26"/>
        <v>0</v>
      </c>
      <c r="E147" s="199">
        <f t="shared" si="26"/>
        <v>0</v>
      </c>
      <c r="F147" s="30"/>
      <c r="G147" s="62" t="s">
        <v>52</v>
      </c>
      <c r="H147" s="62"/>
      <c r="I147" s="199">
        <f>I136</f>
        <v>0</v>
      </c>
      <c r="J147" s="199">
        <f>J136</f>
        <v>0</v>
      </c>
      <c r="K147" s="199">
        <f>K136</f>
        <v>0</v>
      </c>
      <c r="L147" s="204"/>
      <c r="M147" s="204"/>
      <c r="N147" s="203"/>
      <c r="O147" s="112"/>
      <c r="P147" s="6"/>
    </row>
    <row r="148" spans="1:16" ht="11.1" customHeight="1" x14ac:dyDescent="0.2">
      <c r="A148" s="25"/>
      <c r="B148" s="199">
        <f>-B114-B115</f>
        <v>23571</v>
      </c>
      <c r="C148" s="199">
        <f>-C114-C115</f>
        <v>26450</v>
      </c>
      <c r="D148" s="199">
        <f>-D114-D115-D118</f>
        <v>47798.2</v>
      </c>
      <c r="E148" s="199">
        <f>-E114-E115-E118</f>
        <v>34414.2569</v>
      </c>
      <c r="F148" s="69"/>
      <c r="G148" s="62" t="s">
        <v>21</v>
      </c>
      <c r="H148" s="62"/>
      <c r="I148" s="199">
        <f>-I114-I115-I118</f>
        <v>35608.513800000001</v>
      </c>
      <c r="J148" s="199">
        <f>-J114-J115-J118</f>
        <v>35435.513800000001</v>
      </c>
      <c r="K148" s="199">
        <f>-K114-K115-K118</f>
        <v>35738.513800000001</v>
      </c>
      <c r="L148" s="204"/>
      <c r="M148" s="204"/>
      <c r="N148" s="203"/>
      <c r="O148" s="112"/>
    </row>
    <row r="149" spans="1:16" ht="11.1" customHeight="1" x14ac:dyDescent="0.2">
      <c r="A149" s="25"/>
      <c r="B149" s="199">
        <f>-B116</f>
        <v>2667</v>
      </c>
      <c r="C149" s="199">
        <f>-C116</f>
        <v>2883</v>
      </c>
      <c r="D149" s="199">
        <f>-D116</f>
        <v>3081.5</v>
      </c>
      <c r="E149" s="199">
        <f>-E116</f>
        <v>3081.5</v>
      </c>
      <c r="F149" s="69"/>
      <c r="G149" s="62" t="s">
        <v>218</v>
      </c>
      <c r="H149" s="62"/>
      <c r="I149" s="199">
        <f>E149</f>
        <v>3081.5</v>
      </c>
      <c r="J149" s="199">
        <f>I149</f>
        <v>3081.5</v>
      </c>
      <c r="K149" s="199">
        <f>J149</f>
        <v>3081.5</v>
      </c>
      <c r="L149" s="204"/>
      <c r="M149" s="204"/>
      <c r="N149" s="203"/>
      <c r="O149" s="112"/>
    </row>
    <row r="150" spans="1:16" ht="11.1" customHeight="1" x14ac:dyDescent="0.2">
      <c r="A150" s="25"/>
      <c r="B150" s="199">
        <f>-B121</f>
        <v>14000</v>
      </c>
      <c r="C150" s="199">
        <f>-C121</f>
        <v>59015</v>
      </c>
      <c r="D150" s="199">
        <f>-D121</f>
        <v>160312.14000000001</v>
      </c>
      <c r="E150" s="199">
        <f>-E121</f>
        <v>50000</v>
      </c>
      <c r="F150" s="69"/>
      <c r="G150" s="62" t="s">
        <v>219</v>
      </c>
      <c r="H150" s="62"/>
      <c r="I150" s="199">
        <f>E150</f>
        <v>50000</v>
      </c>
      <c r="J150" s="199">
        <f t="shared" ref="J150:K150" si="27">I150</f>
        <v>50000</v>
      </c>
      <c r="K150" s="199">
        <f t="shared" si="27"/>
        <v>50000</v>
      </c>
      <c r="L150" s="204"/>
      <c r="M150" s="204"/>
      <c r="N150" s="203"/>
      <c r="O150" s="112"/>
    </row>
    <row r="151" spans="1:16" ht="11.1" customHeight="1" x14ac:dyDescent="0.2">
      <c r="A151" s="25"/>
      <c r="B151" s="199">
        <f>-143704.83+42286.67</f>
        <v>-101418.15999999999</v>
      </c>
      <c r="C151" s="199">
        <v>-72447.539999999994</v>
      </c>
      <c r="D151" s="199">
        <v>-108608.84</v>
      </c>
      <c r="E151" s="199">
        <f>-20000-3082</f>
        <v>-23082</v>
      </c>
      <c r="F151" s="69"/>
      <c r="G151" s="62" t="s">
        <v>222</v>
      </c>
      <c r="H151" s="62"/>
      <c r="I151" s="199">
        <f>E151+1</f>
        <v>-23081</v>
      </c>
      <c r="J151" s="199">
        <f>I151-1</f>
        <v>-23082</v>
      </c>
      <c r="K151" s="199">
        <f>J151+1</f>
        <v>-23081</v>
      </c>
      <c r="L151" s="23"/>
      <c r="M151" s="23"/>
      <c r="N151" s="25"/>
      <c r="O151" s="113"/>
    </row>
    <row r="152" spans="1:16" ht="11.1" customHeight="1" x14ac:dyDescent="0.2">
      <c r="A152" s="25"/>
      <c r="B152" s="199">
        <v>-17690.71</v>
      </c>
      <c r="C152" s="199">
        <f>+C191-B191</f>
        <v>-11535.29</v>
      </c>
      <c r="D152" s="199">
        <f>+D191-C191</f>
        <v>2066.9000000000015</v>
      </c>
      <c r="E152" s="199">
        <f>+E191-D191</f>
        <v>3309.8600000000006</v>
      </c>
      <c r="F152" s="69"/>
      <c r="G152" s="26" t="s">
        <v>23</v>
      </c>
      <c r="H152" s="62"/>
      <c r="I152" s="199">
        <f>+I191-E191</f>
        <v>3309.8600000000006</v>
      </c>
      <c r="J152" s="199">
        <f>+J191-I191</f>
        <v>3309.8600000000006</v>
      </c>
      <c r="K152" s="199">
        <f>+K191-J191</f>
        <v>3309.8600000000006</v>
      </c>
      <c r="L152" s="204"/>
      <c r="M152" s="204"/>
      <c r="N152" s="203"/>
      <c r="O152" s="113"/>
    </row>
    <row r="153" spans="1:16" ht="11.1" customHeight="1" x14ac:dyDescent="0.2">
      <c r="A153" s="25"/>
      <c r="B153" s="199">
        <v>37733</v>
      </c>
      <c r="C153" s="199">
        <f>-C182+B182+C195-B195</f>
        <v>909</v>
      </c>
      <c r="D153" s="199">
        <f>-D182+C182+D195-C195</f>
        <v>61285</v>
      </c>
      <c r="E153" s="199">
        <f>-E182+D182+E195-D195</f>
        <v>1491</v>
      </c>
      <c r="F153" s="69"/>
      <c r="G153" s="26" t="s">
        <v>65</v>
      </c>
      <c r="H153" s="62"/>
      <c r="I153" s="199">
        <f>-I182+E182+I195-E195</f>
        <v>0</v>
      </c>
      <c r="J153" s="199">
        <f>-J182+I182+J195-I195</f>
        <v>0</v>
      </c>
      <c r="K153" s="199">
        <f>-K182+J182+K195-J195</f>
        <v>0</v>
      </c>
      <c r="L153" s="204"/>
      <c r="M153" s="204"/>
      <c r="N153" s="203"/>
      <c r="O153" s="112"/>
    </row>
    <row r="154" spans="1:16" ht="11.1" customHeight="1" x14ac:dyDescent="0.2">
      <c r="A154" s="25"/>
      <c r="B154" s="199">
        <v>1552</v>
      </c>
      <c r="C154" s="199">
        <f>-C184+B184</f>
        <v>7987</v>
      </c>
      <c r="D154" s="199">
        <f>-D184+C184</f>
        <v>-10340.82</v>
      </c>
      <c r="E154" s="199">
        <f>-E184+D184</f>
        <v>1.819999999999709</v>
      </c>
      <c r="F154" s="30"/>
      <c r="G154" s="26" t="s">
        <v>40</v>
      </c>
      <c r="H154" s="62"/>
      <c r="I154" s="199">
        <f>-I184+E184</f>
        <v>10339</v>
      </c>
      <c r="J154" s="199">
        <f>-J184+I184</f>
        <v>0</v>
      </c>
      <c r="K154" s="199">
        <f>-K184+J184</f>
        <v>0</v>
      </c>
      <c r="L154" s="204"/>
      <c r="M154" s="204"/>
      <c r="N154" s="203"/>
      <c r="O154" s="112"/>
    </row>
    <row r="155" spans="1:16" ht="11.1" customHeight="1" x14ac:dyDescent="0.2">
      <c r="A155" s="25"/>
      <c r="B155" s="199">
        <v>-87</v>
      </c>
      <c r="C155" s="199">
        <f>+C196-B196</f>
        <v>-1980</v>
      </c>
      <c r="D155" s="199">
        <f>+D196-C196</f>
        <v>1472.3000000000002</v>
      </c>
      <c r="E155" s="199">
        <f>+E196-D196</f>
        <v>2574.6999999999998</v>
      </c>
      <c r="F155" s="30"/>
      <c r="G155" s="26" t="s">
        <v>47</v>
      </c>
      <c r="H155" s="62"/>
      <c r="I155" s="199">
        <f>+I196-E196</f>
        <v>0</v>
      </c>
      <c r="J155" s="199">
        <f>+J196-I196</f>
        <v>0</v>
      </c>
      <c r="K155" s="199">
        <f>+K196-J196</f>
        <v>0</v>
      </c>
      <c r="L155" s="204"/>
      <c r="M155" s="204"/>
      <c r="N155" s="203"/>
      <c r="O155" s="112"/>
    </row>
    <row r="156" spans="1:16" ht="11.1" customHeight="1" x14ac:dyDescent="0.2">
      <c r="A156" s="25"/>
      <c r="B156" s="206">
        <f>SUM(B146:B155)</f>
        <v>-34448.419999999809</v>
      </c>
      <c r="C156" s="206">
        <f>SUM(C146:C155)</f>
        <v>26818.339999999931</v>
      </c>
      <c r="D156" s="206">
        <f>SUM(D146:D155)</f>
        <v>172725.35999999972</v>
      </c>
      <c r="E156" s="206">
        <f>SUM(E146:E155)</f>
        <v>87745.85999999968</v>
      </c>
      <c r="F156" s="30"/>
      <c r="G156" s="123" t="s">
        <v>53</v>
      </c>
      <c r="H156" s="62"/>
      <c r="I156" s="206">
        <f>SUM(I146:I155)</f>
        <v>97718.339999999545</v>
      </c>
      <c r="J156" s="206">
        <f>SUM(J146:J155)</f>
        <v>83378.339999999545</v>
      </c>
      <c r="K156" s="206">
        <f>SUM(K146:K155)</f>
        <v>87379.340000000011</v>
      </c>
      <c r="L156" s="211"/>
      <c r="M156" s="211"/>
      <c r="N156" s="212"/>
      <c r="O156" s="112"/>
    </row>
    <row r="157" spans="1:16" ht="11.1" customHeight="1" x14ac:dyDescent="0.2">
      <c r="A157" s="25"/>
      <c r="B157" s="199">
        <v>-2725001</v>
      </c>
      <c r="C157" s="199">
        <f>+C120</f>
        <v>536722</v>
      </c>
      <c r="D157" s="199">
        <f>+D120</f>
        <v>1728772.7599999998</v>
      </c>
      <c r="E157" s="199">
        <f>+E120</f>
        <v>425772.75999999978</v>
      </c>
      <c r="F157" s="30"/>
      <c r="G157" s="26" t="s">
        <v>43</v>
      </c>
      <c r="H157" s="62"/>
      <c r="I157" s="199">
        <f t="shared" ref="I157:K157" si="28">+I120</f>
        <v>135772.75999999978</v>
      </c>
      <c r="J157" s="199">
        <f t="shared" si="28"/>
        <v>-368227.24000000022</v>
      </c>
      <c r="K157" s="199">
        <f t="shared" si="28"/>
        <v>-1164227.2400000002</v>
      </c>
      <c r="L157" s="204"/>
      <c r="M157" s="204"/>
      <c r="N157" s="203"/>
      <c r="O157" s="112"/>
    </row>
    <row r="158" spans="1:16" ht="11.1" customHeight="1" x14ac:dyDescent="0.2">
      <c r="A158" s="25"/>
      <c r="B158" s="199">
        <v>-1220151</v>
      </c>
      <c r="C158" s="199">
        <f>+C181-B181</f>
        <v>-50878</v>
      </c>
      <c r="D158" s="199">
        <f>+D181-C181</f>
        <v>-138286</v>
      </c>
      <c r="E158" s="199">
        <f>+E181-D181</f>
        <v>-42745</v>
      </c>
      <c r="F158" s="30"/>
      <c r="G158" s="26" t="s">
        <v>50</v>
      </c>
      <c r="H158" s="62"/>
      <c r="I158" s="199">
        <f>+I181-E181</f>
        <v>-50000</v>
      </c>
      <c r="J158" s="199">
        <f>+J181-I181</f>
        <v>0</v>
      </c>
      <c r="K158" s="199">
        <f>+K181-J181</f>
        <v>0</v>
      </c>
      <c r="L158" s="204"/>
      <c r="M158" s="204"/>
      <c r="N158" s="203"/>
      <c r="O158" s="112"/>
    </row>
    <row r="159" spans="1:16" ht="11.1" customHeight="1" x14ac:dyDescent="0.2">
      <c r="A159" s="97"/>
      <c r="B159" s="207">
        <v>-3945152</v>
      </c>
      <c r="C159" s="208">
        <f>SUM(C157:C158)</f>
        <v>485844</v>
      </c>
      <c r="D159" s="208">
        <f>SUM(D157:D158)</f>
        <v>1590486.7599999998</v>
      </c>
      <c r="E159" s="207">
        <f>SUM(E157:E158)</f>
        <v>383027.75999999978</v>
      </c>
      <c r="F159" s="70"/>
      <c r="G159" s="68" t="s">
        <v>41</v>
      </c>
      <c r="H159" s="62"/>
      <c r="I159" s="207">
        <f>SUM(I157:I158)</f>
        <v>85772.759999999776</v>
      </c>
      <c r="J159" s="207">
        <f>SUM(J157:J158)</f>
        <v>-368227.24000000022</v>
      </c>
      <c r="K159" s="207">
        <f>SUM(K157:K158)</f>
        <v>-1164227.2400000002</v>
      </c>
      <c r="L159" s="213"/>
      <c r="M159" s="213"/>
      <c r="N159" s="208"/>
      <c r="O159" s="112"/>
    </row>
    <row r="160" spans="1:16" ht="11.1" customHeight="1" x14ac:dyDescent="0.2">
      <c r="A160" s="25"/>
      <c r="B160" s="199">
        <v>-2222624</v>
      </c>
      <c r="C160" s="199">
        <f>+C193-B193</f>
        <v>-243193</v>
      </c>
      <c r="D160" s="199">
        <f>+D193-C193</f>
        <v>1396925</v>
      </c>
      <c r="E160" s="199">
        <f>+E193-D193</f>
        <v>314309</v>
      </c>
      <c r="F160" s="30"/>
      <c r="G160" s="26" t="s">
        <v>68</v>
      </c>
      <c r="H160" s="62"/>
      <c r="I160" s="199">
        <f>+I193-E193</f>
        <v>0</v>
      </c>
      <c r="J160" s="199">
        <f>+J193-I193</f>
        <v>-450000</v>
      </c>
      <c r="K160" s="199">
        <f>+K193-J193</f>
        <v>-1250000</v>
      </c>
      <c r="L160" s="204"/>
      <c r="M160" s="204"/>
      <c r="N160" s="203"/>
      <c r="O160" s="112"/>
    </row>
    <row r="161" spans="1:18" ht="11.1" customHeight="1" x14ac:dyDescent="0.2">
      <c r="A161" s="97"/>
      <c r="B161" s="207">
        <v>-2222624</v>
      </c>
      <c r="C161" s="208">
        <f>SUM(C160:C160)</f>
        <v>-243193</v>
      </c>
      <c r="D161" s="208">
        <f>SUM(D160:D160)</f>
        <v>1396925</v>
      </c>
      <c r="E161" s="207">
        <f>SUM(E160:E160)</f>
        <v>314309</v>
      </c>
      <c r="F161" s="70"/>
      <c r="G161" s="68" t="s">
        <v>42</v>
      </c>
      <c r="H161" s="62"/>
      <c r="I161" s="207">
        <f>SUM(I160:I160)</f>
        <v>0</v>
      </c>
      <c r="J161" s="207">
        <f>SUM(J160:J160)</f>
        <v>-450000</v>
      </c>
      <c r="K161" s="207">
        <f>SUM(K160:K160)</f>
        <v>-1250000</v>
      </c>
      <c r="L161" s="213"/>
      <c r="M161" s="213"/>
      <c r="N161" s="208"/>
      <c r="O161" s="112"/>
    </row>
    <row r="162" spans="1:18" ht="11.1" customHeight="1" x14ac:dyDescent="0.2">
      <c r="A162" s="25"/>
      <c r="B162" s="206">
        <v>1722528</v>
      </c>
      <c r="C162" s="206">
        <f>-C159+C161</f>
        <v>-729037</v>
      </c>
      <c r="D162" s="206">
        <f>-D159+D161</f>
        <v>-193561.75999999978</v>
      </c>
      <c r="E162" s="206">
        <f>-E159+E161</f>
        <v>-68718.759999999776</v>
      </c>
      <c r="F162" s="30"/>
      <c r="G162" s="123" t="s">
        <v>58</v>
      </c>
      <c r="H162" s="62"/>
      <c r="I162" s="206">
        <f>-I159+I161</f>
        <v>-85772.759999999776</v>
      </c>
      <c r="J162" s="206">
        <f>-J159+J161</f>
        <v>-81772.759999999776</v>
      </c>
      <c r="K162" s="206">
        <f>-K159+K161</f>
        <v>-85772.759999999776</v>
      </c>
      <c r="L162" s="211"/>
      <c r="M162" s="211"/>
      <c r="N162" s="212"/>
      <c r="O162" s="112"/>
    </row>
    <row r="163" spans="1:18" ht="11.1" customHeight="1" x14ac:dyDescent="0.2">
      <c r="A163" s="25"/>
      <c r="B163" s="199">
        <v>-144939.86000000002</v>
      </c>
      <c r="C163" s="199">
        <f>-C9</f>
        <v>-25528.59</v>
      </c>
      <c r="D163" s="199">
        <f>-D9</f>
        <v>-54289.96</v>
      </c>
      <c r="E163" s="199">
        <f>-E9</f>
        <v>-19558.410000000003</v>
      </c>
      <c r="F163" s="30"/>
      <c r="G163" s="62" t="s">
        <v>75</v>
      </c>
      <c r="H163" s="62"/>
      <c r="I163" s="199">
        <f>-I9</f>
        <v>-5000</v>
      </c>
      <c r="J163" s="199">
        <f>-J9</f>
        <v>-5000</v>
      </c>
      <c r="K163" s="199">
        <f>-K9</f>
        <v>-5000</v>
      </c>
      <c r="L163" s="204"/>
      <c r="M163" s="204"/>
      <c r="N163" s="203"/>
      <c r="O163" s="112"/>
    </row>
    <row r="164" spans="1:18" ht="11.1" customHeight="1" x14ac:dyDescent="0.2">
      <c r="A164" s="25"/>
      <c r="B164" s="199">
        <v>0</v>
      </c>
      <c r="C164" s="199">
        <f>R9</f>
        <v>0</v>
      </c>
      <c r="D164" s="199">
        <f>S9</f>
        <v>0</v>
      </c>
      <c r="E164" s="199">
        <f>T9</f>
        <v>0</v>
      </c>
      <c r="F164" s="30"/>
      <c r="G164" s="64" t="s">
        <v>76</v>
      </c>
      <c r="H164" s="62"/>
      <c r="I164" s="199">
        <f>X9</f>
        <v>0</v>
      </c>
      <c r="J164" s="199">
        <f>Y9</f>
        <v>0</v>
      </c>
      <c r="K164" s="199">
        <f>Z9</f>
        <v>0</v>
      </c>
      <c r="L164" s="204"/>
      <c r="M164" s="204"/>
      <c r="N164" s="203"/>
      <c r="O164" s="112"/>
    </row>
    <row r="165" spans="1:18" ht="11.1" customHeight="1" x14ac:dyDescent="0.2">
      <c r="A165" s="25"/>
      <c r="B165" s="30"/>
      <c r="C165" s="30"/>
      <c r="D165" s="30"/>
      <c r="E165" s="30"/>
      <c r="F165" s="30"/>
      <c r="G165" s="62" t="s">
        <v>48</v>
      </c>
      <c r="H165" s="62"/>
      <c r="I165" s="30"/>
      <c r="J165" s="30"/>
      <c r="K165" s="30"/>
      <c r="L165" s="23"/>
      <c r="M165" s="23"/>
      <c r="N165" s="25"/>
      <c r="O165" s="112"/>
    </row>
    <row r="166" spans="1:18" ht="11.1" customHeight="1" x14ac:dyDescent="0.2">
      <c r="A166" s="25"/>
      <c r="B166" s="206">
        <v>-144939.86000000002</v>
      </c>
      <c r="C166" s="206">
        <f>SUM(C163:C165)</f>
        <v>-25528.59</v>
      </c>
      <c r="D166" s="206">
        <f>SUM(D163:D165)</f>
        <v>-54289.96</v>
      </c>
      <c r="E166" s="206">
        <f>SUM(E163:E165)</f>
        <v>-19558.410000000003</v>
      </c>
      <c r="F166" s="30"/>
      <c r="G166" s="123" t="s">
        <v>54</v>
      </c>
      <c r="H166" s="62"/>
      <c r="I166" s="206">
        <f>SUM(I163:I165)</f>
        <v>-5000</v>
      </c>
      <c r="J166" s="206">
        <f>SUM(J163:J165)</f>
        <v>-5000</v>
      </c>
      <c r="K166" s="206">
        <f>SUM(K163:K165)</f>
        <v>-5000</v>
      </c>
      <c r="L166" s="211"/>
      <c r="M166" s="211"/>
      <c r="N166" s="212"/>
      <c r="O166" s="112"/>
    </row>
    <row r="167" spans="1:18" ht="11.1" customHeight="1" x14ac:dyDescent="0.2">
      <c r="A167" s="25"/>
      <c r="B167" s="199"/>
      <c r="C167" s="199"/>
      <c r="D167" s="199"/>
      <c r="E167" s="199"/>
      <c r="F167" s="30"/>
      <c r="G167" s="26" t="s">
        <v>59</v>
      </c>
      <c r="H167" s="62"/>
      <c r="I167" s="199"/>
      <c r="J167" s="199"/>
      <c r="K167" s="199"/>
      <c r="L167" s="209"/>
      <c r="M167" s="209"/>
      <c r="N167" s="210"/>
      <c r="O167" s="112"/>
    </row>
    <row r="168" spans="1:18" ht="11.1" customHeight="1" x14ac:dyDescent="0.2">
      <c r="A168" s="25"/>
      <c r="B168" s="199">
        <v>-152056.49</v>
      </c>
      <c r="C168" s="199">
        <v>-285658.26</v>
      </c>
      <c r="D168" s="199"/>
      <c r="E168" s="199"/>
      <c r="F168" s="30"/>
      <c r="G168" s="26" t="s">
        <v>51</v>
      </c>
      <c r="H168" s="62"/>
      <c r="I168" s="199"/>
      <c r="J168" s="199"/>
      <c r="K168" s="199"/>
      <c r="L168" s="204"/>
      <c r="M168" s="204"/>
      <c r="N168" s="203"/>
      <c r="O168" s="112"/>
    </row>
    <row r="169" spans="1:18" ht="11.1" customHeight="1" x14ac:dyDescent="0.2">
      <c r="A169" s="25"/>
      <c r="B169" s="206">
        <v>-152056.49</v>
      </c>
      <c r="C169" s="206">
        <f>SUM(C167:C168)</f>
        <v>-285658.26</v>
      </c>
      <c r="D169" s="206">
        <f>SUM(D167:D168)</f>
        <v>0</v>
      </c>
      <c r="E169" s="206">
        <f>SUM(E167:E168)</f>
        <v>0</v>
      </c>
      <c r="F169" s="30"/>
      <c r="G169" s="123" t="s">
        <v>55</v>
      </c>
      <c r="H169" s="62"/>
      <c r="I169" s="206">
        <f>SUM(I167:I168)</f>
        <v>0</v>
      </c>
      <c r="J169" s="206">
        <f>SUM(J167:J168)</f>
        <v>0</v>
      </c>
      <c r="K169" s="206">
        <f>SUM(K167:K168)</f>
        <v>0</v>
      </c>
      <c r="L169" s="211"/>
      <c r="M169" s="211"/>
      <c r="N169" s="212"/>
      <c r="O169" s="112"/>
    </row>
    <row r="170" spans="1:18" ht="11.1" customHeight="1" x14ac:dyDescent="0.2">
      <c r="A170" s="25"/>
      <c r="B170" s="122"/>
      <c r="C170" s="122"/>
      <c r="D170" s="125"/>
      <c r="E170" s="125"/>
      <c r="F170" s="30"/>
      <c r="G170" s="123" t="s">
        <v>56</v>
      </c>
      <c r="H170" s="62"/>
      <c r="I170" s="122"/>
      <c r="J170" s="122"/>
      <c r="K170" s="132"/>
      <c r="L170" s="132"/>
      <c r="M170" s="132"/>
      <c r="N170" s="133"/>
      <c r="O170" s="114"/>
    </row>
    <row r="171" spans="1:18" s="19" customFormat="1" ht="12" customHeight="1" x14ac:dyDescent="0.2">
      <c r="A171" s="125">
        <v>418742</v>
      </c>
      <c r="B171" s="29">
        <f>+A171+B156+B162+B166+B169+B170</f>
        <v>1809825.23</v>
      </c>
      <c r="C171" s="29">
        <f>+B171+C156+C162+C166+C169+C170</f>
        <v>796419.71999999974</v>
      </c>
      <c r="D171" s="29">
        <f>+C171+D156+D162+D166+D169+D170</f>
        <v>721293.35999999975</v>
      </c>
      <c r="E171" s="29">
        <f>+D171+E156+E162+E166+E169+E170</f>
        <v>720762.04999999958</v>
      </c>
      <c r="F171" s="30"/>
      <c r="G171" s="28" t="s">
        <v>44</v>
      </c>
      <c r="H171" s="62"/>
      <c r="I171" s="195">
        <f>+E171+I156+I162+I166+I169+I170</f>
        <v>727707.62999999931</v>
      </c>
      <c r="J171" s="29">
        <f>+I171+J156+J162+J166+J169+J170</f>
        <v>724313.20999999903</v>
      </c>
      <c r="K171" s="134">
        <f>+J171+K156+K162+K166+K169+K170</f>
        <v>720919.78999999922</v>
      </c>
      <c r="L171" s="134"/>
      <c r="M171" s="134"/>
      <c r="N171" s="135"/>
      <c r="O171" s="33"/>
      <c r="Q171" s="8"/>
      <c r="R171" s="8"/>
    </row>
    <row r="172" spans="1:18" s="19" customFormat="1" ht="12" customHeight="1" x14ac:dyDescent="0.2">
      <c r="A172" s="23"/>
      <c r="B172" s="23"/>
      <c r="C172" s="23"/>
      <c r="D172" s="23"/>
      <c r="E172" s="23"/>
      <c r="F172" s="23"/>
      <c r="G172" s="79"/>
      <c r="H172" s="79"/>
      <c r="I172" s="23"/>
      <c r="J172" s="23"/>
      <c r="K172" s="23"/>
      <c r="L172" s="23"/>
      <c r="M172" s="23"/>
      <c r="N172" s="23"/>
      <c r="O172" s="102"/>
      <c r="Q172" s="8"/>
      <c r="R172" s="8"/>
    </row>
    <row r="173" spans="1:18" s="6" customFormat="1" ht="10.5" customHeight="1" x14ac:dyDescent="0.2">
      <c r="A173" s="5"/>
      <c r="B173" s="5"/>
      <c r="C173" s="5"/>
      <c r="D173" s="5"/>
      <c r="E173" s="5"/>
      <c r="F173" s="55"/>
      <c r="G173" s="4"/>
      <c r="H173" s="48"/>
      <c r="I173" s="55"/>
      <c r="J173" s="55"/>
      <c r="K173" s="55"/>
      <c r="L173" s="55"/>
      <c r="M173" s="55"/>
      <c r="N173" s="55"/>
      <c r="O173" s="246"/>
      <c r="Q173" s="8"/>
      <c r="R173" s="8"/>
    </row>
    <row r="174" spans="1:18" s="6" customFormat="1" ht="10.5" customHeight="1" x14ac:dyDescent="0.2">
      <c r="A174" s="74"/>
      <c r="B174" s="77">
        <f>+B36</f>
        <v>2016</v>
      </c>
      <c r="C174" s="74">
        <f>+C36</f>
        <v>2017</v>
      </c>
      <c r="D174" s="77">
        <f>+D36</f>
        <v>2018</v>
      </c>
      <c r="E174" s="77">
        <f>+E36</f>
        <v>2019</v>
      </c>
      <c r="F174" s="58"/>
      <c r="G174" s="86" t="s">
        <v>33</v>
      </c>
      <c r="H174" s="67"/>
      <c r="I174" s="237">
        <f>+I36</f>
        <v>2020</v>
      </c>
      <c r="J174" s="124">
        <f>+J36</f>
        <v>2021</v>
      </c>
      <c r="K174" s="124">
        <f>+K36</f>
        <v>2022</v>
      </c>
      <c r="L174" s="124"/>
      <c r="M174" s="124"/>
      <c r="N174" s="74"/>
      <c r="O174" s="115"/>
      <c r="Q174" s="8"/>
      <c r="R174" s="8"/>
    </row>
    <row r="175" spans="1:18" s="6" customFormat="1" x14ac:dyDescent="0.2">
      <c r="A175" s="76"/>
      <c r="B175" s="76"/>
      <c r="C175" s="140">
        <f>+C2</f>
        <v>0</v>
      </c>
      <c r="D175" s="140">
        <f>+D2</f>
        <v>0</v>
      </c>
      <c r="E175" s="76" t="str">
        <f>+E2</f>
        <v>Stima</v>
      </c>
      <c r="F175" s="46"/>
      <c r="G175" s="75"/>
      <c r="H175" s="67"/>
      <c r="I175" s="272" t="s">
        <v>90</v>
      </c>
      <c r="J175" s="273"/>
      <c r="K175" s="273"/>
      <c r="L175" s="273"/>
      <c r="M175" s="273"/>
      <c r="N175" s="274"/>
      <c r="O175" s="115"/>
      <c r="Q175" s="8"/>
      <c r="R175" s="8"/>
    </row>
    <row r="176" spans="1:18" s="6" customFormat="1" ht="15" customHeight="1" x14ac:dyDescent="0.2">
      <c r="A176" s="88"/>
      <c r="B176" s="214">
        <v>125669</v>
      </c>
      <c r="C176" s="215">
        <f>+B176+C5-R5+C114+C117</f>
        <v>125134.22</v>
      </c>
      <c r="D176" s="215">
        <f>+C176+D5-S5+D114+D117</f>
        <v>106999.69</v>
      </c>
      <c r="E176" s="215">
        <f>+D176+E5+E114+E117</f>
        <v>88864.69</v>
      </c>
      <c r="F176" s="89"/>
      <c r="G176" s="90" t="s">
        <v>24</v>
      </c>
      <c r="H176" s="91"/>
      <c r="I176" s="216">
        <f>+E176+I5+I114+I117</f>
        <v>70729.69</v>
      </c>
      <c r="J176" s="216">
        <f>+I176+J5+J114+J117</f>
        <v>52594.69</v>
      </c>
      <c r="K176" s="216">
        <f>+J176+K5+K114+K117</f>
        <v>34459.69</v>
      </c>
      <c r="L176" s="217"/>
      <c r="M176" s="217"/>
      <c r="N176" s="218"/>
      <c r="O176" s="117"/>
      <c r="P176" s="261"/>
      <c r="Q176" s="8"/>
      <c r="R176" s="8"/>
    </row>
    <row r="177" spans="1:18" s="6" customFormat="1" ht="15" customHeight="1" x14ac:dyDescent="0.2">
      <c r="A177" s="88"/>
      <c r="B177" s="214">
        <v>13301</v>
      </c>
      <c r="C177" s="215">
        <f>B177+C6-R6+C115+C118</f>
        <v>12964.369999999999</v>
      </c>
      <c r="D177" s="215">
        <f>C177+D6-S6+D115+D118</f>
        <v>37590.660000000003</v>
      </c>
      <c r="E177" s="215">
        <f>+D177+E6+E115+E118</f>
        <v>40869.813100000007</v>
      </c>
      <c r="F177" s="89"/>
      <c r="G177" s="90" t="s">
        <v>25</v>
      </c>
      <c r="H177" s="91"/>
      <c r="I177" s="215">
        <f>+E177+I6+I115+I118</f>
        <v>28396.299300000006</v>
      </c>
      <c r="J177" s="215">
        <f>+I177+J6+J115+J118</f>
        <v>16095.785500000005</v>
      </c>
      <c r="K177" s="215">
        <f>+J177+K6+K115+K118</f>
        <v>3492.2717000000048</v>
      </c>
      <c r="L177" s="219"/>
      <c r="M177" s="219"/>
      <c r="N177" s="219"/>
      <c r="O177" s="117"/>
      <c r="P177" s="261"/>
      <c r="Q177" s="8"/>
      <c r="R177" s="8"/>
    </row>
    <row r="178" spans="1:18" s="6" customFormat="1" ht="15" customHeight="1" x14ac:dyDescent="0.2">
      <c r="A178" s="88"/>
      <c r="B178" s="214">
        <v>50</v>
      </c>
      <c r="C178" s="215">
        <f>B178+C7-R7</f>
        <v>0</v>
      </c>
      <c r="D178" s="215">
        <f>C178+D7-S7</f>
        <v>0</v>
      </c>
      <c r="E178" s="215">
        <f>D178+E7-T7</f>
        <v>0</v>
      </c>
      <c r="F178" s="89"/>
      <c r="G178" s="90" t="s">
        <v>28</v>
      </c>
      <c r="H178" s="91"/>
      <c r="I178" s="220">
        <v>0</v>
      </c>
      <c r="J178" s="220">
        <v>0</v>
      </c>
      <c r="K178" s="221">
        <f>J178+K7-Z7</f>
        <v>0</v>
      </c>
      <c r="L178" s="221"/>
      <c r="M178" s="221"/>
      <c r="N178" s="222"/>
      <c r="O178" s="117"/>
      <c r="P178" s="261"/>
      <c r="Q178" s="8"/>
      <c r="R178" s="8"/>
    </row>
    <row r="179" spans="1:18" s="6" customFormat="1" ht="15" customHeight="1" x14ac:dyDescent="0.2">
      <c r="A179" s="223">
        <f>SUM(A176:A178)</f>
        <v>0</v>
      </c>
      <c r="B179" s="223">
        <f>SUM(B176:B178)</f>
        <v>139020</v>
      </c>
      <c r="C179" s="224">
        <f>SUM(C176:C178)</f>
        <v>138098.59</v>
      </c>
      <c r="D179" s="224">
        <f t="shared" ref="D179" si="29">SUM(D176:D178)</f>
        <v>144590.35</v>
      </c>
      <c r="E179" s="224">
        <f>SUM(E176:E178)</f>
        <v>129734.5031</v>
      </c>
      <c r="F179" s="89"/>
      <c r="G179" s="225" t="s">
        <v>26</v>
      </c>
      <c r="H179" s="91"/>
      <c r="I179" s="223">
        <f t="shared" ref="I179:K179" si="30">SUM(I176:I178)</f>
        <v>99125.989300000016</v>
      </c>
      <c r="J179" s="223">
        <f t="shared" si="30"/>
        <v>68690.4755</v>
      </c>
      <c r="K179" s="223">
        <f t="shared" si="30"/>
        <v>37951.961700000007</v>
      </c>
      <c r="L179" s="226"/>
      <c r="M179" s="226"/>
      <c r="N179" s="226"/>
      <c r="O179" s="117"/>
      <c r="Q179" s="8"/>
      <c r="R179" s="8"/>
    </row>
    <row r="180" spans="1:18" s="6" customFormat="1" ht="15" customHeight="1" x14ac:dyDescent="0.2">
      <c r="A180" s="92"/>
      <c r="B180" s="214">
        <v>3786838</v>
      </c>
      <c r="C180" s="215">
        <f>+B180+C120</f>
        <v>4323560</v>
      </c>
      <c r="D180" s="215">
        <f>+C180+D120</f>
        <v>6052332.7599999998</v>
      </c>
      <c r="E180" s="215">
        <f>+D180+E120</f>
        <v>6478105.5199999996</v>
      </c>
      <c r="F180" s="89"/>
      <c r="G180" s="196" t="s">
        <v>27</v>
      </c>
      <c r="H180" s="91"/>
      <c r="I180" s="215">
        <f>+E180+I120</f>
        <v>6613878.2799999993</v>
      </c>
      <c r="J180" s="215">
        <f>+I180+J157</f>
        <v>6245651.0399999991</v>
      </c>
      <c r="K180" s="215">
        <f>+J180+K120</f>
        <v>5081423.7999999989</v>
      </c>
      <c r="L180" s="217"/>
      <c r="M180" s="217"/>
      <c r="N180" s="218"/>
      <c r="O180" s="118"/>
      <c r="Q180" s="8"/>
      <c r="R180" s="8"/>
    </row>
    <row r="181" spans="1:18" s="6" customFormat="1" ht="15" customHeight="1" x14ac:dyDescent="0.2">
      <c r="A181" s="92"/>
      <c r="B181" s="92">
        <v>631909</v>
      </c>
      <c r="C181" s="93">
        <v>581031</v>
      </c>
      <c r="D181" s="93">
        <v>442745</v>
      </c>
      <c r="E181" s="93">
        <v>400000</v>
      </c>
      <c r="F181" s="89"/>
      <c r="G181" s="196" t="s">
        <v>29</v>
      </c>
      <c r="H181" s="91"/>
      <c r="I181" s="93">
        <v>350000</v>
      </c>
      <c r="J181" s="93">
        <f>I181</f>
        <v>350000</v>
      </c>
      <c r="K181" s="93">
        <f>J181</f>
        <v>350000</v>
      </c>
      <c r="L181" s="116"/>
      <c r="M181" s="116"/>
      <c r="N181" s="89"/>
      <c r="O181" s="118"/>
      <c r="Q181" s="8"/>
      <c r="R181" s="8"/>
    </row>
    <row r="182" spans="1:18" s="6" customFormat="1" ht="15" customHeight="1" x14ac:dyDescent="0.2">
      <c r="A182" s="92"/>
      <c r="B182" s="92">
        <v>31833</v>
      </c>
      <c r="C182" s="89">
        <v>37168</v>
      </c>
      <c r="D182" s="89">
        <v>24025</v>
      </c>
      <c r="E182" s="89">
        <v>25000</v>
      </c>
      <c r="F182" s="89"/>
      <c r="G182" s="196" t="s">
        <v>63</v>
      </c>
      <c r="H182" s="91"/>
      <c r="I182" s="89">
        <f>E182</f>
        <v>25000</v>
      </c>
      <c r="J182" s="89">
        <f>I182</f>
        <v>25000</v>
      </c>
      <c r="K182" s="89">
        <f>J182</f>
        <v>25000</v>
      </c>
      <c r="L182" s="116"/>
      <c r="M182" s="116"/>
      <c r="N182" s="116"/>
      <c r="O182" s="118"/>
      <c r="Q182" s="8"/>
      <c r="R182" s="8"/>
    </row>
    <row r="183" spans="1:18" s="6" customFormat="1" ht="15" customHeight="1" x14ac:dyDescent="0.2">
      <c r="A183" s="87"/>
      <c r="B183" s="214">
        <f>+B171</f>
        <v>1809825.23</v>
      </c>
      <c r="C183" s="215">
        <f t="shared" ref="C183:E183" si="31">IF(C171&gt;0,C171,0)</f>
        <v>796419.71999999974</v>
      </c>
      <c r="D183" s="215">
        <f>IF(D171&gt;0,D171,0)</f>
        <v>721293.35999999975</v>
      </c>
      <c r="E183" s="215">
        <f t="shared" si="31"/>
        <v>720762.04999999958</v>
      </c>
      <c r="F183" s="93"/>
      <c r="G183" s="196" t="s">
        <v>30</v>
      </c>
      <c r="H183" s="91"/>
      <c r="I183" s="215">
        <f t="shared" ref="I183:K183" si="32">IF(I171&gt;0,I171,0)</f>
        <v>727707.62999999931</v>
      </c>
      <c r="J183" s="215">
        <f t="shared" si="32"/>
        <v>724313.20999999903</v>
      </c>
      <c r="K183" s="215">
        <f t="shared" si="32"/>
        <v>720919.78999999922</v>
      </c>
      <c r="L183" s="219"/>
      <c r="M183" s="219"/>
      <c r="N183" s="219"/>
      <c r="O183" s="117"/>
      <c r="Q183" s="8"/>
      <c r="R183" s="8"/>
    </row>
    <row r="184" spans="1:18" s="6" customFormat="1" ht="15" customHeight="1" x14ac:dyDescent="0.2">
      <c r="A184" s="92"/>
      <c r="B184" s="92">
        <v>51148</v>
      </c>
      <c r="C184" s="89">
        <v>43161</v>
      </c>
      <c r="D184" s="89">
        <v>53501.82</v>
      </c>
      <c r="E184" s="89">
        <v>53500</v>
      </c>
      <c r="F184" s="89"/>
      <c r="G184" s="90" t="s">
        <v>31</v>
      </c>
      <c r="H184" s="91"/>
      <c r="I184" s="89">
        <v>43161</v>
      </c>
      <c r="J184" s="89">
        <v>43161</v>
      </c>
      <c r="K184" s="89">
        <v>43161</v>
      </c>
      <c r="L184" s="128"/>
      <c r="M184" s="128"/>
      <c r="N184" s="129"/>
      <c r="O184" s="117"/>
      <c r="Q184" s="8"/>
      <c r="R184" s="8"/>
    </row>
    <row r="185" spans="1:18" s="6" customFormat="1" ht="17.100000000000001" customHeight="1" x14ac:dyDescent="0.2">
      <c r="A185" s="138">
        <f>SUM(A179:A184)</f>
        <v>0</v>
      </c>
      <c r="B185" s="138">
        <f>SUM(B179:B184)</f>
        <v>6450573.2300000004</v>
      </c>
      <c r="C185" s="94">
        <f>SUM(C179:C184)</f>
        <v>5919438.3099999996</v>
      </c>
      <c r="D185" s="94">
        <f>SUM(D179:D184)</f>
        <v>7438488.2899999991</v>
      </c>
      <c r="E185" s="94">
        <f>SUM(E179:E184)</f>
        <v>7807102.0730999997</v>
      </c>
      <c r="F185" s="89"/>
      <c r="G185" s="95" t="s">
        <v>32</v>
      </c>
      <c r="H185" s="96"/>
      <c r="I185" s="138">
        <f>SUM(I179:I184)</f>
        <v>7858872.8992999978</v>
      </c>
      <c r="J185" s="138">
        <f t="shared" ref="J185:K185" si="33">SUM(J179:J184)</f>
        <v>7456815.7254999978</v>
      </c>
      <c r="K185" s="138">
        <f t="shared" si="33"/>
        <v>6258456.5516999979</v>
      </c>
      <c r="L185" s="131"/>
      <c r="M185" s="131"/>
      <c r="N185" s="94"/>
      <c r="O185" s="117"/>
      <c r="Q185" s="8"/>
      <c r="R185" s="8"/>
    </row>
    <row r="186" spans="1:18" s="6" customFormat="1" ht="15" customHeight="1" x14ac:dyDescent="0.2">
      <c r="A186" s="88"/>
      <c r="B186" s="214">
        <v>1548781</v>
      </c>
      <c r="C186" s="215">
        <f>+B186+C170</f>
        <v>1548781</v>
      </c>
      <c r="D186" s="215">
        <f>+C186+D170</f>
        <v>1548781</v>
      </c>
      <c r="E186" s="215">
        <f>+D186+E170</f>
        <v>1548781</v>
      </c>
      <c r="F186" s="89"/>
      <c r="G186" s="90" t="s">
        <v>34</v>
      </c>
      <c r="H186" s="91"/>
      <c r="I186" s="214">
        <f>+E186+I170</f>
        <v>1548781</v>
      </c>
      <c r="J186" s="214">
        <f>+I186+J170</f>
        <v>1548781</v>
      </c>
      <c r="K186" s="219">
        <f>+J186+K170</f>
        <v>1548781</v>
      </c>
      <c r="L186" s="219"/>
      <c r="M186" s="219"/>
      <c r="N186" s="215"/>
      <c r="O186" s="117"/>
      <c r="Q186" s="8"/>
      <c r="R186" s="8"/>
    </row>
    <row r="187" spans="1:18" s="6" customFormat="1" ht="15" customHeight="1" x14ac:dyDescent="0.2">
      <c r="A187" s="88"/>
      <c r="B187" s="214">
        <f>13980+217056-1</f>
        <v>231035</v>
      </c>
      <c r="C187" s="215">
        <f>+B187+B188</f>
        <v>236259.45000000019</v>
      </c>
      <c r="D187" s="215">
        <f>+C187+C188+1</f>
        <v>251797.62000000011</v>
      </c>
      <c r="E187" s="215">
        <f>+D187+D188</f>
        <v>267456.59999999986</v>
      </c>
      <c r="F187" s="89"/>
      <c r="G187" s="90" t="s">
        <v>35</v>
      </c>
      <c r="H187" s="91"/>
      <c r="I187" s="214">
        <f>+E187+E188</f>
        <v>283411.32309999957</v>
      </c>
      <c r="J187" s="214">
        <f>+I187+I188</f>
        <v>301871.78929999913</v>
      </c>
      <c r="K187" s="219">
        <f t="shared" ref="K187" si="34">+J187+J188</f>
        <v>316505.25549999869</v>
      </c>
      <c r="L187" s="219"/>
      <c r="M187" s="219"/>
      <c r="N187" s="215"/>
      <c r="O187" s="117"/>
      <c r="Q187" s="8"/>
      <c r="R187" s="8"/>
    </row>
    <row r="188" spans="1:18" s="6" customFormat="1" ht="15" customHeight="1" x14ac:dyDescent="0.2">
      <c r="A188" s="92"/>
      <c r="B188" s="215">
        <f>+B140</f>
        <v>5224.4500000001863</v>
      </c>
      <c r="C188" s="215">
        <f>+C140</f>
        <v>15537.169999999925</v>
      </c>
      <c r="D188" s="215">
        <f>+D140</f>
        <v>15658.979999999734</v>
      </c>
      <c r="E188" s="215">
        <f>+E140</f>
        <v>15954.723099999697</v>
      </c>
      <c r="F188" s="89"/>
      <c r="G188" s="90" t="s">
        <v>20</v>
      </c>
      <c r="H188" s="91"/>
      <c r="I188" s="220">
        <f>+I140</f>
        <v>18460.466199999544</v>
      </c>
      <c r="J188" s="220">
        <f>+J140</f>
        <v>14633.466199999544</v>
      </c>
      <c r="K188" s="221">
        <f>+K140</f>
        <v>18330.46620000001</v>
      </c>
      <c r="L188" s="221"/>
      <c r="M188" s="221"/>
      <c r="N188" s="222"/>
      <c r="O188" s="117"/>
      <c r="Q188" s="8"/>
      <c r="R188" s="8"/>
    </row>
    <row r="189" spans="1:18" s="6" customFormat="1" ht="15" customHeight="1" x14ac:dyDescent="0.2">
      <c r="A189" s="223">
        <f>SUM(A186:A188)</f>
        <v>0</v>
      </c>
      <c r="B189" s="223">
        <f>SUM(B186:B188)</f>
        <v>1785040.4500000002</v>
      </c>
      <c r="C189" s="223">
        <f>SUM(C186:C188)</f>
        <v>1800577.62</v>
      </c>
      <c r="D189" s="223">
        <f t="shared" ref="D189" si="35">SUM(D186:D188)</f>
        <v>1816237.5999999999</v>
      </c>
      <c r="E189" s="223">
        <f>SUM(E186:E188)</f>
        <v>1832192.3230999995</v>
      </c>
      <c r="F189" s="89"/>
      <c r="G189" s="225" t="s">
        <v>36</v>
      </c>
      <c r="H189" s="91"/>
      <c r="I189" s="223">
        <f t="shared" ref="I189:K189" si="36">SUM(I186:I188)</f>
        <v>1850652.7892999991</v>
      </c>
      <c r="J189" s="223">
        <f t="shared" si="36"/>
        <v>1865286.2554999986</v>
      </c>
      <c r="K189" s="223">
        <f t="shared" si="36"/>
        <v>1883616.7216999985</v>
      </c>
      <c r="L189" s="226"/>
      <c r="M189" s="226"/>
      <c r="N189" s="224"/>
      <c r="O189" s="117"/>
      <c r="Q189" s="8"/>
      <c r="R189" s="8"/>
    </row>
    <row r="190" spans="1:18" s="6" customFormat="1" ht="15" customHeight="1" x14ac:dyDescent="0.2">
      <c r="A190" s="92"/>
      <c r="B190" s="92">
        <v>253018</v>
      </c>
      <c r="C190" s="89">
        <v>242468</v>
      </c>
      <c r="D190" s="89">
        <v>297252</v>
      </c>
      <c r="E190" s="89">
        <f>+D190+E150-20000</f>
        <v>327252</v>
      </c>
      <c r="F190" s="89"/>
      <c r="G190" s="275" t="s">
        <v>37</v>
      </c>
      <c r="H190" s="91"/>
      <c r="I190" s="89">
        <f>+E190+I150-20000</f>
        <v>357252</v>
      </c>
      <c r="J190" s="89">
        <f>+I190+J150-20000</f>
        <v>387252</v>
      </c>
      <c r="K190" s="89">
        <f>+J190+K150-20000</f>
        <v>417252</v>
      </c>
      <c r="L190" s="130"/>
      <c r="M190" s="130"/>
      <c r="N190" s="130"/>
      <c r="O190" s="119"/>
      <c r="Q190" s="8"/>
      <c r="R190" s="8"/>
    </row>
    <row r="191" spans="1:18" s="6" customFormat="1" ht="15" customHeight="1" x14ac:dyDescent="0.2">
      <c r="A191" s="88"/>
      <c r="B191" s="88">
        <v>43816.29</v>
      </c>
      <c r="C191" s="89">
        <v>32281</v>
      </c>
      <c r="D191" s="89">
        <v>34347.9</v>
      </c>
      <c r="E191" s="89">
        <f>+D191-E109</f>
        <v>37657.760000000002</v>
      </c>
      <c r="F191" s="89"/>
      <c r="G191" s="90" t="s">
        <v>38</v>
      </c>
      <c r="H191" s="91"/>
      <c r="I191" s="89">
        <f>+E191-I109</f>
        <v>40967.620000000003</v>
      </c>
      <c r="J191" s="89">
        <f>+I191-J109</f>
        <v>44277.48</v>
      </c>
      <c r="K191" s="89">
        <f>+J191-K109</f>
        <v>47587.340000000004</v>
      </c>
      <c r="L191" s="116"/>
      <c r="M191" s="116"/>
      <c r="N191" s="116"/>
      <c r="O191" s="117"/>
      <c r="Q191" s="8"/>
      <c r="R191" s="8"/>
    </row>
    <row r="192" spans="1:18" s="6" customFormat="1" ht="15" customHeight="1" x14ac:dyDescent="0.2">
      <c r="A192" s="88"/>
      <c r="B192" s="214">
        <v>285658.62</v>
      </c>
      <c r="C192" s="214">
        <f>+B192+C167+C168</f>
        <v>0.35999999998603016</v>
      </c>
      <c r="D192" s="214">
        <f>+C192+D167+D168</f>
        <v>0.35999999998603016</v>
      </c>
      <c r="E192" s="214">
        <f>+D192+E167+E168</f>
        <v>0.35999999998603016</v>
      </c>
      <c r="F192" s="89"/>
      <c r="G192" s="90" t="s">
        <v>39</v>
      </c>
      <c r="H192" s="91"/>
      <c r="I192" s="214">
        <f>+H192+I167+I168</f>
        <v>0</v>
      </c>
      <c r="J192" s="214">
        <f>+I192+J167+J168</f>
        <v>0</v>
      </c>
      <c r="K192" s="214">
        <f>+J192+K167+K168</f>
        <v>0</v>
      </c>
      <c r="L192" s="219"/>
      <c r="M192" s="219"/>
      <c r="N192" s="215"/>
      <c r="O192" s="117"/>
      <c r="Q192" s="8"/>
      <c r="R192" s="8"/>
    </row>
    <row r="193" spans="1:18" s="6" customFormat="1" ht="15" customHeight="1" x14ac:dyDescent="0.2">
      <c r="A193" s="88"/>
      <c r="B193" s="88">
        <v>4031959</v>
      </c>
      <c r="C193" s="89">
        <v>3788766</v>
      </c>
      <c r="D193" s="89">
        <v>5185691</v>
      </c>
      <c r="E193" s="89">
        <v>5500000</v>
      </c>
      <c r="F193" s="89"/>
      <c r="G193" s="90" t="s">
        <v>67</v>
      </c>
      <c r="H193" s="91"/>
      <c r="I193" s="89">
        <v>5500000</v>
      </c>
      <c r="J193" s="89">
        <v>5050000</v>
      </c>
      <c r="K193" s="89">
        <v>3800000</v>
      </c>
      <c r="L193" s="116"/>
      <c r="M193" s="116"/>
      <c r="N193" s="116"/>
      <c r="O193" s="117"/>
      <c r="Q193" s="8"/>
      <c r="R193" s="8"/>
    </row>
    <row r="194" spans="1:18" s="6" customFormat="1" ht="15" customHeight="1" x14ac:dyDescent="0.2">
      <c r="A194" s="89"/>
      <c r="B194" s="214">
        <v>0</v>
      </c>
      <c r="C194" s="215">
        <f>IF(C171&lt;0,-C171,0)</f>
        <v>0</v>
      </c>
      <c r="D194" s="215">
        <f>IF(D171&lt;0,-D171,0)</f>
        <v>0</v>
      </c>
      <c r="E194" s="215"/>
      <c r="F194" s="89"/>
      <c r="G194" s="196" t="s">
        <v>82</v>
      </c>
      <c r="H194" s="91"/>
      <c r="I194" s="215">
        <f>IF(I171&lt;0,-I171,0)</f>
        <v>0</v>
      </c>
      <c r="J194" s="215">
        <f>IF(J171&lt;0,-J171,0)</f>
        <v>0</v>
      </c>
      <c r="K194" s="215">
        <f>IF(K171&lt;0,-K171,0)</f>
        <v>0</v>
      </c>
      <c r="L194" s="219"/>
      <c r="M194" s="219"/>
      <c r="N194" s="219"/>
      <c r="O194" s="117"/>
      <c r="P194" s="197"/>
      <c r="Q194" s="8"/>
      <c r="R194" s="8"/>
    </row>
    <row r="195" spans="1:18" s="6" customFormat="1" ht="15" customHeight="1" x14ac:dyDescent="0.2">
      <c r="A195" s="88"/>
      <c r="B195" s="88">
        <v>43148</v>
      </c>
      <c r="C195" s="89">
        <v>49392</v>
      </c>
      <c r="D195" s="89">
        <v>97534</v>
      </c>
      <c r="E195" s="89">
        <v>100000</v>
      </c>
      <c r="F195" s="89"/>
      <c r="G195" s="90" t="s">
        <v>64</v>
      </c>
      <c r="H195" s="91"/>
      <c r="I195" s="89">
        <f>E195</f>
        <v>100000</v>
      </c>
      <c r="J195" s="89">
        <f>I195</f>
        <v>100000</v>
      </c>
      <c r="K195" s="89">
        <f>J195</f>
        <v>100000</v>
      </c>
      <c r="L195" s="116"/>
      <c r="M195" s="116"/>
      <c r="N195" s="116"/>
      <c r="O195" s="117"/>
      <c r="Q195" s="8"/>
      <c r="R195" s="8"/>
    </row>
    <row r="196" spans="1:18" s="6" customFormat="1" ht="15" customHeight="1" x14ac:dyDescent="0.2">
      <c r="A196" s="88"/>
      <c r="B196" s="88">
        <v>7933</v>
      </c>
      <c r="C196" s="89">
        <v>5953</v>
      </c>
      <c r="D196" s="89">
        <v>7425.3</v>
      </c>
      <c r="E196" s="89">
        <v>10000</v>
      </c>
      <c r="F196" s="89"/>
      <c r="G196" s="121" t="s">
        <v>31</v>
      </c>
      <c r="H196" s="91"/>
      <c r="I196" s="89">
        <f>E196</f>
        <v>10000</v>
      </c>
      <c r="J196" s="89">
        <f>I196</f>
        <v>10000</v>
      </c>
      <c r="K196" s="89">
        <f>J196</f>
        <v>10000</v>
      </c>
      <c r="L196" s="128"/>
      <c r="M196" s="128"/>
      <c r="N196" s="129"/>
      <c r="O196" s="8"/>
      <c r="Q196" s="8"/>
      <c r="R196" s="8"/>
    </row>
    <row r="197" spans="1:18" s="20" customFormat="1" ht="15" customHeight="1" x14ac:dyDescent="0.2">
      <c r="A197" s="138">
        <f>SUM(A189:A196)</f>
        <v>0</v>
      </c>
      <c r="B197" s="138">
        <f>SUM(B189:B196)</f>
        <v>6450573.3600000003</v>
      </c>
      <c r="C197" s="94">
        <f>SUM(C189:C196)</f>
        <v>5919437.9800000004</v>
      </c>
      <c r="D197" s="94">
        <f>SUM(D189:D196)</f>
        <v>7438488.1599999992</v>
      </c>
      <c r="E197" s="94">
        <f>SUM(E189:E196)</f>
        <v>7807102.4430999998</v>
      </c>
      <c r="F197" s="89"/>
      <c r="G197" s="95" t="s">
        <v>49</v>
      </c>
      <c r="H197" s="96"/>
      <c r="I197" s="138">
        <f>SUM(I189:I196)</f>
        <v>7858872.4092999995</v>
      </c>
      <c r="J197" s="138">
        <f>SUM(J189:J196)</f>
        <v>7456815.7354999986</v>
      </c>
      <c r="K197" s="138">
        <f>SUM(K189:K196)</f>
        <v>6258456.0616999986</v>
      </c>
      <c r="L197" s="131"/>
      <c r="M197" s="131"/>
      <c r="N197" s="94"/>
      <c r="O197" s="35"/>
      <c r="P197" s="6"/>
      <c r="Q197" s="8"/>
      <c r="R197" s="8"/>
    </row>
    <row r="198" spans="1:18" s="36" customFormat="1" ht="15" customHeight="1" x14ac:dyDescent="0.2">
      <c r="A198" s="80"/>
      <c r="B198" s="80"/>
      <c r="C198" s="80"/>
      <c r="D198" s="189"/>
      <c r="E198" s="189"/>
      <c r="F198" s="80"/>
      <c r="G198" s="34"/>
      <c r="H198" s="34"/>
      <c r="I198" s="189"/>
      <c r="J198" s="189"/>
      <c r="K198" s="189"/>
      <c r="L198" s="80"/>
      <c r="M198" s="80"/>
      <c r="N198" s="80"/>
      <c r="O198" s="104"/>
      <c r="P198" s="104"/>
    </row>
    <row r="199" spans="1:18" s="36" customFormat="1" ht="15" customHeight="1" x14ac:dyDescent="0.2">
      <c r="A199" s="259"/>
      <c r="B199" s="258"/>
      <c r="C199" s="258"/>
      <c r="D199" s="258"/>
      <c r="E199" s="80"/>
      <c r="F199" s="80"/>
      <c r="G199" s="34"/>
      <c r="H199" s="34"/>
      <c r="I199" s="80"/>
      <c r="J199" s="80"/>
      <c r="K199" s="80"/>
      <c r="L199" s="80"/>
      <c r="M199" s="80"/>
      <c r="N199" s="80"/>
      <c r="O199" s="104"/>
      <c r="P199" s="104"/>
    </row>
    <row r="200" spans="1:18" x14ac:dyDescent="0.2">
      <c r="A200" s="259"/>
      <c r="B200" s="260"/>
      <c r="C200" s="260"/>
      <c r="D200" s="260"/>
    </row>
    <row r="202" spans="1:18" x14ac:dyDescent="0.2">
      <c r="B202" s="257"/>
      <c r="C202" s="257"/>
      <c r="D202" s="257"/>
    </row>
    <row r="203" spans="1:18" x14ac:dyDescent="0.2">
      <c r="C203" s="257"/>
    </row>
    <row r="204" spans="1:18" x14ac:dyDescent="0.2">
      <c r="D204" s="257"/>
    </row>
    <row r="205" spans="1:18" x14ac:dyDescent="0.2">
      <c r="D205" s="257"/>
    </row>
    <row r="206" spans="1:18" x14ac:dyDescent="0.2">
      <c r="D206" s="257"/>
    </row>
    <row r="207" spans="1:18" x14ac:dyDescent="0.2">
      <c r="D207" s="257"/>
    </row>
  </sheetData>
  <mergeCells count="8">
    <mergeCell ref="I145:N145"/>
    <mergeCell ref="I175:N175"/>
    <mergeCell ref="I2:N2"/>
    <mergeCell ref="X2:AC2"/>
    <mergeCell ref="I12:N12"/>
    <mergeCell ref="X12:AC12"/>
    <mergeCell ref="I23:N23"/>
    <mergeCell ref="X23:AC23"/>
  </mergeCells>
  <printOptions horizontalCentered="1"/>
  <pageMargins left="0" right="0" top="0.98425196850393704" bottom="0.59055118110236227" header="0.39370078740157483" footer="0.31496062992125984"/>
  <pageSetup paperSize="9" fitToHeight="12" orientation="portrait" r:id="rId1"/>
  <headerFooter alignWithMargins="0">
    <oddHeader>&amp;L&amp;"Helv,Grassetto"Progetto Formazione s.c.r.l.&amp;C&amp;"Helv,Grassetto"&amp;U
PIANO A MEDIO TERMINE&amp;R&amp;"Arial,Normale"&amp;8k €</oddHeader>
    <oddFooter>&amp;L&amp;8&amp;F&amp;C&amp;8&amp;P / &amp;N&amp;R&amp;8&amp;D - &amp;T</oddFooter>
  </headerFooter>
  <rowBreaks count="1" manualBreakCount="1">
    <brk id="34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Investimenti</vt:lpstr>
      <vt:lpstr>Altri prospetti</vt:lpstr>
      <vt:lpstr>'Altri prospetti'!Area_stampa</vt:lpstr>
      <vt:lpstr>Investimenti!Area_stampa</vt:lpstr>
      <vt:lpstr>'Altri prospetti'!BILAN</vt:lpstr>
      <vt:lpstr>'Altri prospetti'!EXPLOIT1</vt:lpstr>
      <vt:lpstr>'Altri prospetti'!EXPLOIT2</vt:lpstr>
      <vt:lpstr>'Altri prospetti'!HYPOTHESES</vt:lpstr>
      <vt:lpstr>'Altri prospetti'!SEVABEL</vt:lpstr>
      <vt:lpstr>'Altri prospetti'!TER</vt:lpstr>
      <vt:lpstr>Investimenti!Titoli_stampa</vt:lpstr>
      <vt:lpstr>'Altri prospetti'!Zone_d_impression_1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Duchosal</dc:creator>
  <cp:lastModifiedBy>ornella branche</cp:lastModifiedBy>
  <cp:lastPrinted>2018-10-15T15:11:59Z</cp:lastPrinted>
  <dcterms:created xsi:type="dcterms:W3CDTF">1997-05-30T09:40:10Z</dcterms:created>
  <dcterms:modified xsi:type="dcterms:W3CDTF">2019-10-31T07:21:25Z</dcterms:modified>
</cp:coreProperties>
</file>